
<file path=[Content_Types].xml><?xml version="1.0" encoding="utf-8"?>
<Types xmlns="http://schemas.openxmlformats.org/package/2006/content-types">
  <Default Extension="bin" ContentType="application/vnd.openxmlformats-officedocument.spreadsheetml.printerSettings"/>
  <Override PartName="/xl/tables/table3.xml" ContentType="application/vnd.openxmlformats-officedocument.spreadsheetml.table+xml"/>
  <Override PartName="/xl/tables/table4.xml" ContentType="application/vnd.openxmlformats-officedocument.spreadsheetml.table+xml"/>
  <Override PartName="/xl/theme/theme1.xml" ContentType="application/vnd.openxmlformats-officedocument.theme+xml"/>
  <Override PartName="/xl/styles.xml" ContentType="application/vnd.openxmlformats-officedocument.spreadsheetml.styles+xml"/>
  <Override PartName="/xl/tables/table1.xml" ContentType="application/vnd.openxmlformats-officedocument.spreadsheetml.table+xml"/>
  <Override PartName="/xl/tables/table2.xml" ContentType="application/vnd.openxmlformats-officedocument.spreadsheetml.table+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xl/tables/table5.xml" ContentType="application/vnd.openxmlformats-officedocument.spreadsheetml.table+xml"/>
  <Override PartName="/xl/tables/table6.xml" ContentType="application/vnd.openxmlformats-officedocument.spreadsheetml.table+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bookViews>
    <workbookView xWindow="-15" yWindow="4845" windowWidth="20730" windowHeight="5475" tabRatio="706" activeTab="2"/>
  </bookViews>
  <sheets>
    <sheet name="Referensi" sheetId="4" r:id="rId1"/>
    <sheet name="Peg Tetap" sheetId="6" r:id="rId2"/>
    <sheet name="THR" sheetId="2" r:id="rId3"/>
    <sheet name="Desember" sheetId="5" r:id="rId4"/>
    <sheet name="Selain PEG TETAP" sheetId="3" r:id="rId5"/>
  </sheets>
  <definedNames>
    <definedName name="_xlnm.Print_Area" localSheetId="0">Referensi!$G$2:$H$35</definedName>
  </definedNames>
  <calcPr calcId="125725"/>
  <fileRecoveryPr repairLoad="1"/>
</workbook>
</file>

<file path=xl/calcChain.xml><?xml version="1.0" encoding="utf-8"?>
<calcChain xmlns="http://schemas.openxmlformats.org/spreadsheetml/2006/main">
  <c r="J105" i="6"/>
  <c r="M22" i="2"/>
  <c r="H5" i="5" l="1"/>
  <c r="J5" s="1"/>
  <c r="M12" i="2" l="1"/>
  <c r="M10"/>
  <c r="J16"/>
  <c r="I78" i="3"/>
  <c r="I77"/>
  <c r="I85"/>
  <c r="L65"/>
  <c r="L67" s="1"/>
  <c r="L64"/>
  <c r="L63"/>
  <c r="I60"/>
  <c r="O9" l="1"/>
  <c r="O8"/>
  <c r="I26"/>
  <c r="I25"/>
  <c r="L10"/>
  <c r="I10"/>
  <c r="M23" i="2"/>
  <c r="M14"/>
  <c r="J106" i="6"/>
  <c r="J100"/>
  <c r="J98"/>
  <c r="J66"/>
  <c r="J60"/>
  <c r="J58"/>
  <c r="J31"/>
  <c r="J26"/>
  <c r="J20"/>
  <c r="J18"/>
  <c r="M16" i="2" l="1"/>
  <c r="M21" s="1"/>
  <c r="I87" i="3"/>
  <c r="I79"/>
  <c r="L59"/>
  <c r="L61" s="1"/>
  <c r="I59"/>
  <c r="I61" s="1"/>
  <c r="I35"/>
  <c r="I36" s="1"/>
  <c r="I38" s="1"/>
  <c r="L26"/>
  <c r="L27" s="1"/>
  <c r="L29" s="1"/>
  <c r="I27"/>
  <c r="I29" s="1"/>
  <c r="L9"/>
  <c r="I9"/>
  <c r="M28" i="2"/>
  <c r="J103" i="6"/>
  <c r="J107" s="1"/>
  <c r="J63"/>
  <c r="J23"/>
  <c r="I63" i="3" l="1"/>
  <c r="I65" s="1"/>
  <c r="I67" s="1"/>
  <c r="J25" i="6"/>
  <c r="J27" s="1"/>
  <c r="J29" s="1"/>
  <c r="J30" s="1"/>
  <c r="J32" s="1"/>
  <c r="J65"/>
  <c r="J67" s="1"/>
  <c r="J69" s="1"/>
  <c r="J109"/>
  <c r="I18" i="3"/>
  <c r="J72" i="6" l="1"/>
  <c r="J73" s="1"/>
  <c r="J74" s="1"/>
  <c r="J78" s="1"/>
  <c r="J70"/>
  <c r="J33"/>
  <c r="J34" s="1"/>
  <c r="J38" s="1"/>
  <c r="L11" i="3"/>
  <c r="L12" s="1"/>
  <c r="I11"/>
  <c r="I12" s="1"/>
  <c r="I14" s="1"/>
  <c r="J19" i="2"/>
  <c r="J21" s="1"/>
  <c r="J110" i="6"/>
  <c r="J112" s="1"/>
  <c r="J113" s="1"/>
  <c r="J114" l="1"/>
  <c r="J116" s="1"/>
  <c r="J118" s="1"/>
  <c r="L13" i="3"/>
  <c r="I16"/>
  <c r="L14"/>
  <c r="L16" s="1"/>
  <c r="J24" i="2"/>
  <c r="J26" s="1"/>
  <c r="J27" s="1"/>
  <c r="J29" s="1"/>
  <c r="J31" s="1"/>
  <c r="J33" s="1"/>
  <c r="M24"/>
  <c r="M19"/>
  <c r="J36" l="1"/>
  <c r="M26"/>
  <c r="M27" s="1"/>
  <c r="R26" i="5"/>
  <c r="R19"/>
  <c r="R12"/>
  <c r="R10"/>
  <c r="R9"/>
  <c r="R8"/>
  <c r="R7"/>
  <c r="R6"/>
  <c r="R5"/>
  <c r="N36"/>
  <c r="P11"/>
  <c r="P13" s="1"/>
  <c r="N11"/>
  <c r="N13" s="1"/>
  <c r="L36"/>
  <c r="H36"/>
  <c r="J19"/>
  <c r="J17"/>
  <c r="J23" s="1"/>
  <c r="L11"/>
  <c r="L13" s="1"/>
  <c r="H11"/>
  <c r="H13" s="1"/>
  <c r="F11"/>
  <c r="F13" s="1"/>
  <c r="D11"/>
  <c r="D13" s="1"/>
  <c r="J10"/>
  <c r="J9"/>
  <c r="J8"/>
  <c r="J7"/>
  <c r="J6"/>
  <c r="M29" i="2" l="1"/>
  <c r="M30" s="1"/>
  <c r="M31"/>
  <c r="R11" i="5"/>
  <c r="R13" s="1"/>
  <c r="R17"/>
  <c r="J11"/>
  <c r="J16" s="1"/>
  <c r="J18" s="1"/>
  <c r="J20" s="1"/>
  <c r="P16"/>
  <c r="P18" s="1"/>
  <c r="P20" s="1"/>
  <c r="P23" s="1"/>
  <c r="N16"/>
  <c r="N18" s="1"/>
  <c r="N20" s="1"/>
  <c r="N23" s="1"/>
  <c r="D16"/>
  <c r="F16"/>
  <c r="F18" s="1"/>
  <c r="F20" s="1"/>
  <c r="F23" s="1"/>
  <c r="H16"/>
  <c r="H18" s="1"/>
  <c r="H20" s="1"/>
  <c r="H23" s="1"/>
  <c r="L16"/>
  <c r="L18" s="1"/>
  <c r="L20" s="1"/>
  <c r="L23" s="1"/>
  <c r="L25" s="1"/>
  <c r="M32" i="2" l="1"/>
  <c r="M36" s="1"/>
  <c r="N27" i="5"/>
  <c r="N28" s="1"/>
  <c r="N30" s="1"/>
  <c r="N25"/>
  <c r="F27"/>
  <c r="F28" s="1"/>
  <c r="F25"/>
  <c r="L27"/>
  <c r="L28" s="1"/>
  <c r="L30" s="1"/>
  <c r="H25"/>
  <c r="H27" s="1"/>
  <c r="H28" s="1"/>
  <c r="R16"/>
  <c r="R18" s="1"/>
  <c r="R20" s="1"/>
  <c r="R25" s="1"/>
  <c r="R27" s="1"/>
  <c r="R28" s="1"/>
  <c r="J13"/>
  <c r="F34"/>
  <c r="F30"/>
  <c r="D18"/>
  <c r="D20" s="1"/>
  <c r="D23" s="1"/>
  <c r="D25" s="1"/>
  <c r="N34" l="1"/>
  <c r="N37" s="1"/>
  <c r="N43" s="1"/>
  <c r="P25"/>
  <c r="L34"/>
  <c r="L37" s="1"/>
  <c r="L43" s="1"/>
  <c r="J31"/>
  <c r="H34"/>
  <c r="H37" s="1"/>
  <c r="H43" s="1"/>
  <c r="H30"/>
  <c r="J25"/>
  <c r="J27" s="1"/>
  <c r="J28" s="1"/>
  <c r="J30" s="1"/>
  <c r="R23"/>
  <c r="P27"/>
  <c r="P28" s="1"/>
  <c r="P30" s="1"/>
  <c r="D27"/>
  <c r="D28" s="1"/>
  <c r="J37" l="1"/>
  <c r="J43" s="1"/>
  <c r="D34"/>
  <c r="D30"/>
  <c r="F36" l="1"/>
  <c r="F37" s="1"/>
  <c r="F43" s="1"/>
  <c r="D37" l="1"/>
  <c r="D43" l="1"/>
  <c r="P40" s="1"/>
  <c r="H12" i="4" l="1"/>
  <c r="H32" s="1"/>
  <c r="H28"/>
  <c r="N5"/>
  <c r="N6" s="1"/>
  <c r="N7" s="1"/>
  <c r="B5"/>
  <c r="P43" i="5" l="1"/>
  <c r="R40" s="1"/>
  <c r="R43" s="1"/>
  <c r="P41"/>
  <c r="H9" i="4"/>
  <c r="H13"/>
  <c r="H18"/>
  <c r="H22"/>
  <c r="H33" l="1"/>
  <c r="H23"/>
  <c r="H14"/>
  <c r="H29"/>
  <c r="H19"/>
  <c r="H10"/>
  <c r="H30" l="1"/>
  <c r="H20"/>
  <c r="H11"/>
  <c r="H34"/>
  <c r="H24"/>
  <c r="H15"/>
  <c r="H35" l="1"/>
  <c r="H25"/>
  <c r="H31"/>
  <c r="H21"/>
</calcChain>
</file>

<file path=xl/sharedStrings.xml><?xml version="1.0" encoding="utf-8"?>
<sst xmlns="http://schemas.openxmlformats.org/spreadsheetml/2006/main" count="675" uniqueCount="242">
  <si>
    <t>PERHITUNGAN PPh PASAL 21 ATAS PENGHASILAN TIDAK TERATUR (CONTOH THR)</t>
  </si>
  <si>
    <t>Perhitungan PPh Pasal 21</t>
  </si>
  <si>
    <t>Uraian</t>
  </si>
  <si>
    <t>PENGHASILAN BRUTO :</t>
  </si>
  <si>
    <t>Penghasilan Teratur</t>
  </si>
  <si>
    <t>1.</t>
  </si>
  <si>
    <t xml:space="preserve">GAJI / PENSIUN ATAU THT / JHT </t>
  </si>
  <si>
    <t>2.</t>
  </si>
  <si>
    <t xml:space="preserve">TUNJANGAN PPh </t>
  </si>
  <si>
    <t>3.</t>
  </si>
  <si>
    <t xml:space="preserve">TUNJANGAN LAINNYA, UANG LEMBUR, DAN SEBAGAINYA </t>
  </si>
  <si>
    <t>4.</t>
  </si>
  <si>
    <t xml:space="preserve">HONORARIUM DAN IMBALAN LAIN SEJENISNYA </t>
  </si>
  <si>
    <t>5.</t>
  </si>
  <si>
    <t xml:space="preserve">PREMI ASURANSI YANG DIBAYAR PEMBERI KERJA </t>
  </si>
  <si>
    <t>6.</t>
  </si>
  <si>
    <t>7.</t>
  </si>
  <si>
    <t xml:space="preserve">JUMLAH (1 s.d. 6) </t>
  </si>
  <si>
    <t>Penghasilan Tidak Teratur</t>
  </si>
  <si>
    <t>8.</t>
  </si>
  <si>
    <t xml:space="preserve">TANTIEM, BONUS, GRATIFIKASI, JASA PRODUKSI, DAN THR </t>
  </si>
  <si>
    <t>9.</t>
  </si>
  <si>
    <t xml:space="preserve">JUMLAH PENGHASILAN BRUTO (7 + 8) </t>
  </si>
  <si>
    <t>PENGURANGAN :</t>
  </si>
  <si>
    <t>10.</t>
  </si>
  <si>
    <t>11.</t>
  </si>
  <si>
    <t>12.</t>
  </si>
  <si>
    <t xml:space="preserve">IURAN PENSIUN ATAU IURAN THT/ JHT </t>
  </si>
  <si>
    <t>13.</t>
  </si>
  <si>
    <t xml:space="preserve">JUMLAH PENGURANGAN (10 + 11 + 12) </t>
  </si>
  <si>
    <t>PENGHITUNGAN PPh PASAL 21 :</t>
  </si>
  <si>
    <t>14.</t>
  </si>
  <si>
    <t>15.</t>
  </si>
  <si>
    <t>16.</t>
  </si>
  <si>
    <t>17.</t>
  </si>
  <si>
    <t>18.</t>
  </si>
  <si>
    <t>19.</t>
  </si>
  <si>
    <t>20.</t>
  </si>
  <si>
    <t>21.</t>
  </si>
  <si>
    <t>22.</t>
  </si>
  <si>
    <t>23.</t>
  </si>
  <si>
    <t>NATURA DAN KENIKMATAN YANG DIKENAI PEMOTONGAN PPh 21</t>
  </si>
  <si>
    <t>BIAYA JABATAN  ATAS PENGHASILAN PADA ANGKA 7 - TERATUR</t>
  </si>
  <si>
    <t>BIAYA JABATAN  ATAS PENGHASILAN PADA ANGKA 8 - TIDAK TERATUR</t>
  </si>
  <si>
    <t>PENGHASILAN KENA PAJAK SETAHUN / DISETAHUNKAN (14-15)</t>
  </si>
  <si>
    <t>PPh PASAL 21 TERUTANG SETAHUN/DISETAHUNKAN - SELURUH PENGHASILAN</t>
  </si>
  <si>
    <t>DIKURANGI : PPh PASAL 21 TERUTANG SETAHUN/DISETAHUNKAN - PH. TERATUR</t>
  </si>
  <si>
    <t>PPh PASAL 21 TERUTANG - PENGHASILAN TIDAK TERATUR (17-18)</t>
  </si>
  <si>
    <t>JUMLAH PENGHASILAN NETO (9 - 13)</t>
  </si>
  <si>
    <t>PENGHASILAN NETO SETAHUN/DISETAHUNKAN UTK PERHITUNGAN PPh PS.21</t>
  </si>
  <si>
    <t>PENGHASILAN TIDAK KENA PAJAK (PTKP) - TK/0</t>
  </si>
  <si>
    <t>PPh PASAL 21 TERUTANG SEBULAN</t>
  </si>
  <si>
    <t>DITAMBAH : PEMOTONGAN PPh PASAL 21 LEBIH TINGGI 20% - TDK BER-NPWP</t>
  </si>
  <si>
    <t>DIKURANGI : PPh PS. 21 YANG TELAH DIPOTONG LEBIH TINGGI 20% - SEBELUMNYA</t>
  </si>
  <si>
    <t>PPh PASAL 21 YANG HARUS DIPOTONG BULAN INI (20 + 21 atau 20 - 22)</t>
  </si>
  <si>
    <t>Seto (ber-NPWP) dengan status belum menikah. pada bulan Juli 2014 bekerja sebagai buruh harian pada PT Kuning Ceria. Ia bekerja selama 12 hari (dari Tanggal 2 s.d 13 Juli 2014) dan menerima upah harian sebesar Rp 200.000,00.</t>
  </si>
  <si>
    <t>HARI KE- 11</t>
  </si>
  <si>
    <t>HARI KE-12</t>
  </si>
  <si>
    <t>UPAH SEHARI</t>
  </si>
  <si>
    <t>UPAH SAMPAI DENGAN (HARI KE-N)</t>
  </si>
  <si>
    <t>DIKURANGI : PTKP (TK/0) SAMPAI DENGAN (HARI KE-N)</t>
  </si>
  <si>
    <t>PENGHASILAN KENA PAJAK</t>
  </si>
  <si>
    <t>PPh PASAL 21 TERUTANG SAMPAI DENGAN (HARI KE-N)</t>
  </si>
  <si>
    <t>DIKURANGI : PPh PASAL 21 YANG TELAH DIPOTONG SEBELUMNYA</t>
  </si>
  <si>
    <t>PPh PASAL 21 YANG HARUS DIPOTONG BULAN INI (7+8)</t>
  </si>
  <si>
    <t>PPh PASAL 21 YANG TERUTANG HARI INI (5-6)</t>
  </si>
  <si>
    <t>*)</t>
  </si>
  <si>
    <t>PERHITUNGAN PPh PASAL 21 - PEGAWAI TIDAK TETAP / TENAGA KERJA LEPAS</t>
  </si>
  <si>
    <t>PERHITUNGAN PPh PASAL 21 - KOMISARIS BUKAN PEGAWAI</t>
  </si>
  <si>
    <t>BULAN : SEPTEMBER</t>
  </si>
  <si>
    <t>BULAN : JULI</t>
  </si>
  <si>
    <t>PENGHASILAN BRUTO</t>
  </si>
  <si>
    <t>PPh PASAL 21 TERUTANG SEBULAN :</t>
  </si>
  <si>
    <t>I : S.D Rp 50,000,000 (5%)</t>
  </si>
  <si>
    <t>II : Diatas Rp 50,000,000,- s.d Rp 250.000.000,- (15%)</t>
  </si>
  <si>
    <t>Jumlah PPh Pasal 21 Terutang Sebulan</t>
  </si>
  <si>
    <t>PPh PASAL 21 YANG HARUS DIPOTONG BULAN INI (2+3)</t>
  </si>
  <si>
    <t>PERHITUNGAN PPh PASAL 21 - BUKAN PEGAWAI (ORANG PRIBADI PEMBERI JASA SEGALA BIDANG)</t>
  </si>
  <si>
    <t>PERKIRAAN PENGHASILAN NETO (50% x angka 1)</t>
  </si>
  <si>
    <t xml:space="preserve">3. </t>
  </si>
  <si>
    <t>PPh PASAL 21 TERUTANG</t>
  </si>
  <si>
    <t>PPh PASAL 21 YANG HARUS DIPOTONG BULAN INI (3+4)</t>
  </si>
  <si>
    <t>PERHITUNGAN PPh PASAL 21 - PETUGAS PENJAJA BARANG DAGANGAN (BUKAN PEGAWAI)</t>
  </si>
  <si>
    <t>DIKURANGI : PTKP (TK/0) BULANAN</t>
  </si>
  <si>
    <t>BULAN : JUNI</t>
  </si>
  <si>
    <t>Penghasilan Tdk Teratur</t>
  </si>
  <si>
    <t>Tabel 1. Biaya Jabatan</t>
  </si>
  <si>
    <t>Tabel 2. Jumlah Bulan Tersisa Berdasarkan Mulai Bekerja</t>
  </si>
  <si>
    <t>Tabel 3. Penghasilan Tidak Kena Pajak</t>
  </si>
  <si>
    <t>Tabel 4. Tarif (Umum) Pasal 17 UU PPh</t>
  </si>
  <si>
    <t>Keterangan</t>
  </si>
  <si>
    <t>Jumlah (Rp)</t>
  </si>
  <si>
    <t>Mulai Bekerja</t>
  </si>
  <si>
    <t>Jumlah Bulan Tersisa</t>
  </si>
  <si>
    <t>PTKP</t>
  </si>
  <si>
    <t>Lapisan</t>
  </si>
  <si>
    <t>Jumlah Ph. Kena Pajak</t>
  </si>
  <si>
    <t>Sampai Dengan</t>
  </si>
  <si>
    <t>Tarif</t>
  </si>
  <si>
    <t>Jumlah PPh Sampai dengan Lapisan Sebelumnya</t>
  </si>
  <si>
    <t>Maks. Sebulan</t>
  </si>
  <si>
    <t>Januari</t>
  </si>
  <si>
    <t>Diri Sendiri</t>
  </si>
  <si>
    <t>I</t>
  </si>
  <si>
    <t>Maks. Setahun</t>
  </si>
  <si>
    <t>Pebruari</t>
  </si>
  <si>
    <t>Tanggungan</t>
  </si>
  <si>
    <t>II</t>
  </si>
  <si>
    <t>diatas 50.000.000</t>
  </si>
  <si>
    <t>Maret</t>
  </si>
  <si>
    <t>III</t>
  </si>
  <si>
    <t>diatas 250.000.000</t>
  </si>
  <si>
    <t>April</t>
  </si>
  <si>
    <t>Status</t>
  </si>
  <si>
    <t>Jumlah Setahun (Rp)</t>
  </si>
  <si>
    <t>IV</t>
  </si>
  <si>
    <t>diatas 500.000.000</t>
  </si>
  <si>
    <t>Mei</t>
  </si>
  <si>
    <t>TK/0</t>
  </si>
  <si>
    <t>Juni</t>
  </si>
  <si>
    <t>TK/1</t>
  </si>
  <si>
    <t>Juli</t>
  </si>
  <si>
    <t>TK/2</t>
  </si>
  <si>
    <t>Agustus</t>
  </si>
  <si>
    <t>TK/3</t>
  </si>
  <si>
    <t>September</t>
  </si>
  <si>
    <t>K/0</t>
  </si>
  <si>
    <t>Oktober</t>
  </si>
  <si>
    <t>K/1</t>
  </si>
  <si>
    <t>Nopember</t>
  </si>
  <si>
    <t>K/2</t>
  </si>
  <si>
    <t>Desember</t>
  </si>
  <si>
    <t>K/3</t>
  </si>
  <si>
    <t>Jumlah Sebulan (Rp)</t>
  </si>
  <si>
    <t>Jumlah Sehari (Rp)</t>
  </si>
  <si>
    <t>Contoh 1. Penghitungan Biaya Jabatan :</t>
  </si>
  <si>
    <t>Contoh 2. Penghitungan PTKP :</t>
  </si>
  <si>
    <t>Contoh 3. Penghitungan PPh Pasal 21 Terutang :</t>
  </si>
  <si>
    <t>RINCIAN PENGHASILAN DAN PENGHITUNGAN PPH PASAL 21</t>
  </si>
  <si>
    <t>:</t>
  </si>
  <si>
    <t>JULI</t>
  </si>
  <si>
    <t>AGUSTUS</t>
  </si>
  <si>
    <t>SEPTEMBER</t>
  </si>
  <si>
    <t>OKTOBER</t>
  </si>
  <si>
    <t>NOPEMBER</t>
  </si>
  <si>
    <t>DESEMBER</t>
  </si>
  <si>
    <t>Form : 1721 A1</t>
  </si>
  <si>
    <t>A</t>
  </si>
  <si>
    <t>GAJI/PENSIUN ATAU THT/JHT</t>
  </si>
  <si>
    <t>u</t>
  </si>
  <si>
    <t>TUNJANGAN PPh</t>
  </si>
  <si>
    <t>TUNJANGAN LAINNYA. UANG LEMBUR DAN SEBAGAINYA</t>
  </si>
  <si>
    <t>HONORARIUM DAN IMBALAN LAIN SEJENISNYA</t>
  </si>
  <si>
    <t>PREMI ASURANSI YANG DIBAYARKAN PEMBERI KERJA</t>
  </si>
  <si>
    <t>NATURA &amp; KENIKMATAN LAINNYA YG DIKENAI PPh PS 21</t>
  </si>
  <si>
    <t>JUMLAH PENGHASILAN BRUTO - TERATUR ( 1 s.d 6)</t>
  </si>
  <si>
    <t>TANTIEM, BONUS, GRATIFIKASI, JASA PRODUKSI DAN THR</t>
  </si>
  <si>
    <t>JUMLAH PENGHASILAN BRUTO (1 S.D. 7)</t>
  </si>
  <si>
    <t>B</t>
  </si>
  <si>
    <t>PENGURANGAN</t>
  </si>
  <si>
    <t>9.a</t>
  </si>
  <si>
    <t>BIAYA JABATAN/BIAYA PENSIUN - Atas Penghasilan Teratur</t>
  </si>
  <si>
    <t>9.b</t>
  </si>
  <si>
    <t>BIAYA JABATAN/BIAYA PENSIUN - Atas Penghasilan Tidak Teratur</t>
  </si>
  <si>
    <t>JUMLAH BIAYA JABATAN (9.a + 9.b)</t>
  </si>
  <si>
    <t>IURAN PENSIUN/THT/JHT (DIBAYAR PEGAWAI)</t>
  </si>
  <si>
    <t>JUMLAH PENGURANGAN</t>
  </si>
  <si>
    <t>C</t>
  </si>
  <si>
    <t>JUMLAH PENGHASILAN NETTO</t>
  </si>
  <si>
    <t>þ</t>
  </si>
  <si>
    <r>
      <t>Ditambah : PH. NETO MASA PAJAK SEBELUMNYA (</t>
    </r>
    <r>
      <rPr>
        <i/>
        <sz val="9"/>
        <color theme="1"/>
        <rFont val="Franklin Gothic Medium Cond"/>
        <family val="2"/>
      </rPr>
      <t>Dari : Unit/Kantor Lama</t>
    </r>
    <r>
      <rPr>
        <sz val="9"/>
        <color theme="1"/>
        <rFont val="Franklin Gothic Medium Cond"/>
        <family val="2"/>
      </rPr>
      <t>)</t>
    </r>
  </si>
  <si>
    <t>PH. NETO UTK PENGHITUNGAN PPh PSL 21 (STHN/DISTHNKAN)</t>
  </si>
  <si>
    <t>PENGHASILAN TIDAK KENA PAJAK (PTKP)</t>
  </si>
  <si>
    <t>PENGHASILAN KENA PAJAK SETAHUN/DISETAHUNKAN (14 - 15)</t>
  </si>
  <si>
    <t>PPh PASAL 21 ATAS PENGHASILAN KENA PAJAK STHN/DISTHNKAN</t>
  </si>
  <si>
    <t>Dikurangi : PPh Pasal 21 YG TELAH DIPOTONG MASA PAJAK SBLMNYA (Dari: Unit/Kantor Lama)</t>
  </si>
  <si>
    <t>PPh PASAL 21 TERUTANG (SETAHUN/DISETAHUNKAN)</t>
  </si>
  <si>
    <t>Dikurangi : PPh Pasal 21 Terutang Setahun atas Penghasilan Teratur</t>
  </si>
  <si>
    <t>D</t>
  </si>
  <si>
    <t>UNTUK PERHITUNGAN PPh PASAL 21 - SELAIN MASA PAJAK TERAKHIR</t>
  </si>
  <si>
    <t xml:space="preserve">DITAMBAH : PEMOTONGAN LEBIH TINGGI 20% (TDK BER-NPWP) </t>
  </si>
  <si>
    <t>DIKURANGI : PPh PASAL 21 YG TLH DIPOTONG LEBIH TINGGI 20 %</t>
  </si>
  <si>
    <t>24.</t>
  </si>
  <si>
    <t>PPH PASAL 21 YANG HARUS DIPOTONG - BULAN INI</t>
  </si>
  <si>
    <t>E</t>
  </si>
  <si>
    <t>UNTUK PERHITUNGAN PPh PASAL 21 - MASA PAJAK TERAKHIR</t>
  </si>
  <si>
    <t>Dikurangi : PPh PASAL 21 YANG TELAH DIPOTONG MASA PAJAK SEBELUMNYA</t>
  </si>
  <si>
    <t>25.</t>
  </si>
  <si>
    <t>PPh PASAL 21 YANG HARUS DIPOTONG MASA PAJAK TERAKHIR</t>
  </si>
  <si>
    <t>F</t>
  </si>
  <si>
    <t>TOTAL PPh PASAL 21 YANG TELAH DIPOTONG DAN DILUNASI</t>
  </si>
  <si>
    <t>A.</t>
  </si>
  <si>
    <t>IDENTITAS PENERIMA PENGHASILAN</t>
  </si>
  <si>
    <t>Nama Wajib Pajak</t>
  </si>
  <si>
    <t>NPWP</t>
  </si>
  <si>
    <t>NIK/No. Paspor</t>
  </si>
  <si>
    <t>Alamat</t>
  </si>
  <si>
    <t>Nama Jabatan</t>
  </si>
  <si>
    <t>Jenis Kelamin</t>
  </si>
  <si>
    <t>Status/Jumlah Tanggungan Untuk PTKP</t>
  </si>
  <si>
    <t>Karyawan Asing</t>
  </si>
  <si>
    <t>Mulai Bekerja-Tahun Ini</t>
  </si>
  <si>
    <t>B.</t>
  </si>
  <si>
    <t>Kode Objek Pajak</t>
  </si>
  <si>
    <t>X</t>
  </si>
  <si>
    <t>21-100-01</t>
  </si>
  <si>
    <t>21-100-02</t>
  </si>
  <si>
    <t>BIAYA JABATAN/BIAYA PENSIUN</t>
  </si>
  <si>
    <t>JUMLAH PENGHASILAN NETTO (8 - 11)</t>
  </si>
  <si>
    <t>PPh PASAL 21 YANG DIPOTONG</t>
  </si>
  <si>
    <t>DITAMBAH : PEMOTONGAN LEBIH TINGGI 20% (TDK BER-NPWP)</t>
  </si>
  <si>
    <t xml:space="preserve">*) PTKP Sehari untuk Diri Sendiri Wajib Pajak : Rp 36.000.000,- x 1/360 hari </t>
  </si>
  <si>
    <t>HARY (BER-NPWP), pada bulan September 2015 selain memperoleh penghasilan yang bersifat teratur (gaji, tunjangan, dsb) juga mendapatkan THR.</t>
  </si>
  <si>
    <t>PERHITUNGAN PPh PASAL 21 - FINAL (PESANGON)</t>
  </si>
  <si>
    <t>PPh PASAL 21 (FINAL) TERUTANG :</t>
  </si>
  <si>
    <t>I : S.D Rp 50,000,000 (0%)</t>
  </si>
  <si>
    <t>II : Diatas Rp 50,000,000,- s.d Rp 100.000.000,- (5%)</t>
  </si>
  <si>
    <t>III : Diatas Rp 100,000,000,- s.d Rp 500.000.000,- (15%)</t>
  </si>
  <si>
    <t>Jumlah</t>
  </si>
  <si>
    <t>PERHITUNGAN PPh PASAL 26</t>
  </si>
  <si>
    <t>PPh PASAL 26 Terutang</t>
  </si>
  <si>
    <t>TAUFIK</t>
  </si>
  <si>
    <t>45.266.100.2-423.000</t>
  </si>
  <si>
    <t>BANDUNG</t>
  </si>
  <si>
    <t>DIREKTUR</t>
  </si>
  <si>
    <t>LAKI-LAKI</t>
  </si>
  <si>
    <t>JANUARI</t>
  </si>
  <si>
    <t>CHANTIKA</t>
  </si>
  <si>
    <t>41.589.500.2-423.000</t>
  </si>
  <si>
    <t>SUPERVISOR</t>
  </si>
  <si>
    <t>PEREMPUAN</t>
  </si>
  <si>
    <t>TIDAK</t>
  </si>
  <si>
    <t>HARY</t>
  </si>
  <si>
    <t>00.000.000.0-000.000</t>
  </si>
  <si>
    <t>STAFF</t>
  </si>
  <si>
    <t>PERHITUNGAN PPh PASAL 21 - MASA PAJAK TERAKHIR (PEGAWAI TETAP : HARY)</t>
  </si>
  <si>
    <t>($ 4,000 X Rp 9.906,- / 1$)</t>
  </si>
  <si>
    <r>
      <t xml:space="preserve">(20%  x  Rp.  </t>
    </r>
    <r>
      <rPr>
        <sz val="12"/>
        <color rgb="FFC00000"/>
        <rFont val="Franklin Gothic Medium"/>
        <family val="2"/>
        <scheme val="minor"/>
      </rPr>
      <t>39.624.000,-</t>
    </r>
    <r>
      <rPr>
        <sz val="10"/>
        <rFont val="Franklin Gothic Medium"/>
        <family val="2"/>
        <scheme val="minor"/>
      </rPr>
      <t xml:space="preserve">  )</t>
    </r>
  </si>
  <si>
    <r>
      <t xml:space="preserve">PPh PASAL 21 TERUTANG </t>
    </r>
    <r>
      <rPr>
        <b/>
        <i/>
        <sz val="12"/>
        <color rgb="FFFF0000"/>
        <rFont val="Franklin Gothic Medium"/>
        <family val="2"/>
        <scheme val="minor"/>
      </rPr>
      <t xml:space="preserve"> </t>
    </r>
  </si>
  <si>
    <t>&lt;- cek, apa masih dibawah PTKP atau sudah diatas PTKP</t>
  </si>
  <si>
    <t xml:space="preserve">notes : simulasi ini dengan asumsi info yang didapat adalah hanya GAJI saja, tanpa ada penghasilan lainnya yang dimasukan. Apabila seperti itu, maka bisa jadi untuk pajak THR ada kemungkinan TIDAK DIKENAKAN. Karena masih dibawah PTKP. Namun Perlu diingat, Maksimal Pada bulan OKTOBER harap dihitung kembali pajaknya ya (jika ada pengasilan tambahan yang digabung di GAJI), takutnya ada kekurangan bayar/lebih bayar. </t>
  </si>
  <si>
    <t>&lt;- PPh Atas THR. Walaupun  hasilnya positif, tapi TIDAK DIKENAKAN PAJAK. *KARENA PENGHASILAN SETAHUN SETELAH MENDAPAT THR MASIH DIBAWAH PTKP</t>
  </si>
</sst>
</file>

<file path=xl/styles.xml><?xml version="1.0" encoding="utf-8"?>
<styleSheet xmlns="http://schemas.openxmlformats.org/spreadsheetml/2006/main">
  <numFmts count="4">
    <numFmt numFmtId="42" formatCode="_(&quot;Rp&quot;* #,##0_);_(&quot;Rp&quot;* \(#,##0\);_(&quot;Rp&quot;* &quot;-&quot;_);_(@_)"/>
    <numFmt numFmtId="41" formatCode="_(* #,##0_);_(* \(#,##0\);_(* &quot;-&quot;_);_(@_)"/>
    <numFmt numFmtId="43" formatCode="_(* #,##0.00_);_(* \(#,##0.00\);_(* &quot;-&quot;??_);_(@_)"/>
    <numFmt numFmtId="164" formatCode="_(* #,##0_);_(* \(#,##0\);_(* &quot;-&quot;??_);_(@_)"/>
  </numFmts>
  <fonts count="59">
    <font>
      <sz val="10"/>
      <name val="Franklin Gothic Medium"/>
      <family val="2"/>
      <scheme val="minor"/>
    </font>
    <font>
      <sz val="11"/>
      <color theme="1"/>
      <name val="Franklin Gothic Medium"/>
      <family val="2"/>
      <scheme val="minor"/>
    </font>
    <font>
      <sz val="48"/>
      <color theme="3"/>
      <name val="Franklin Gothic Medium"/>
      <family val="2"/>
      <scheme val="major"/>
    </font>
    <font>
      <sz val="11"/>
      <color theme="3"/>
      <name val="Franklin Gothic Medium"/>
      <family val="2"/>
      <scheme val="minor"/>
    </font>
    <font>
      <sz val="20"/>
      <color theme="3"/>
      <name val="Franklin Gothic Medium"/>
      <family val="2"/>
      <scheme val="minor"/>
    </font>
    <font>
      <sz val="14"/>
      <color theme="3"/>
      <name val="Franklin Gothic Medium"/>
      <family val="2"/>
      <scheme val="minor"/>
    </font>
    <font>
      <sz val="11"/>
      <name val="Gentium Basic"/>
    </font>
    <font>
      <sz val="11"/>
      <name val="Franklin Gothic Medium"/>
      <family val="2"/>
      <scheme val="minor"/>
    </font>
    <font>
      <sz val="14"/>
      <name val="Franklin Gothic Medium"/>
      <family val="2"/>
      <scheme val="minor"/>
    </font>
    <font>
      <sz val="10"/>
      <name val="Franklin Gothic Medium"/>
      <family val="2"/>
      <scheme val="minor"/>
    </font>
    <font>
      <sz val="11"/>
      <color theme="1"/>
      <name val="Cambria"/>
      <family val="2"/>
    </font>
    <font>
      <sz val="11"/>
      <color theme="1" tint="0.14999847407452621"/>
      <name val="Cambria"/>
      <family val="2"/>
    </font>
    <font>
      <sz val="11"/>
      <color rgb="FFC00000"/>
      <name val="Cambria"/>
      <family val="2"/>
    </font>
    <font>
      <sz val="12"/>
      <color theme="1"/>
      <name val="Franklin Gothic Medium"/>
      <family val="2"/>
    </font>
    <font>
      <sz val="14"/>
      <color theme="1"/>
      <name val="Wingdings"/>
      <charset val="2"/>
    </font>
    <font>
      <sz val="10"/>
      <color theme="1"/>
      <name val="Franklin Gothic Medium"/>
      <family val="2"/>
    </font>
    <font>
      <b/>
      <sz val="10"/>
      <color theme="1"/>
      <name val="Franklin Gothic Medium"/>
      <family val="2"/>
    </font>
    <font>
      <sz val="11"/>
      <color theme="1"/>
      <name val="Franklin Gothic Medium"/>
      <family val="2"/>
    </font>
    <font>
      <sz val="11"/>
      <name val="Franklin Gothic Medium"/>
      <family val="2"/>
    </font>
    <font>
      <sz val="10"/>
      <color rgb="FFFF0000"/>
      <name val="Franklin Gothic Medium"/>
      <family val="2"/>
    </font>
    <font>
      <sz val="8"/>
      <color theme="7" tint="-0.249977111117893"/>
      <name val="Wingdings 3"/>
      <family val="1"/>
      <charset val="2"/>
    </font>
    <font>
      <sz val="10"/>
      <name val="Franklin Gothic Medium"/>
      <family val="2"/>
    </font>
    <font>
      <sz val="9"/>
      <color theme="1"/>
      <name val="Franklin Gothic Medium Cond"/>
      <family val="2"/>
    </font>
    <font>
      <i/>
      <sz val="9"/>
      <color theme="1"/>
      <name val="Franklin Gothic Medium Cond"/>
      <family val="2"/>
    </font>
    <font>
      <sz val="9"/>
      <color theme="1"/>
      <name val="Franklin Gothic Medium"/>
      <family val="2"/>
    </font>
    <font>
      <sz val="11"/>
      <color indexed="63"/>
      <name val="Calibri"/>
      <family val="2"/>
      <charset val="1"/>
    </font>
    <font>
      <sz val="11"/>
      <color theme="1"/>
      <name val="Franklin Gothic Medium"/>
      <family val="2"/>
      <charset val="1"/>
      <scheme val="minor"/>
    </font>
    <font>
      <u/>
      <sz val="10"/>
      <color indexed="12"/>
      <name val="Arial"/>
      <family val="2"/>
    </font>
    <font>
      <sz val="10"/>
      <name val="Arial"/>
      <family val="2"/>
    </font>
    <font>
      <sz val="11"/>
      <color theme="1"/>
      <name val="Franklin Gothic Medium Cond"/>
      <family val="2"/>
    </font>
    <font>
      <sz val="11"/>
      <color theme="1"/>
      <name val="Arial"/>
      <family val="2"/>
    </font>
    <font>
      <b/>
      <sz val="11"/>
      <color theme="1"/>
      <name val="Franklin Gothic Medium"/>
      <family val="2"/>
    </font>
    <font>
      <sz val="11"/>
      <color theme="7" tint="-0.249977111117893"/>
      <name val="Wingdings 3"/>
      <family val="1"/>
      <charset val="2"/>
    </font>
    <font>
      <sz val="11"/>
      <color rgb="FFFF0000"/>
      <name val="Franklin Gothic Medium Cond"/>
      <family val="2"/>
    </font>
    <font>
      <sz val="11"/>
      <color rgb="FFC00000"/>
      <name val="Franklin Gothic Medium"/>
      <family val="2"/>
      <scheme val="minor"/>
    </font>
    <font>
      <sz val="11"/>
      <name val="Cambria"/>
      <family val="2"/>
    </font>
    <font>
      <sz val="11"/>
      <color theme="0"/>
      <name val="Cambria"/>
      <family val="2"/>
    </font>
    <font>
      <sz val="14"/>
      <name val="Wingdings"/>
      <charset val="2"/>
    </font>
    <font>
      <sz val="11"/>
      <color theme="0"/>
      <name val="Franklin Gothic Medium"/>
      <family val="2"/>
      <scheme val="minor"/>
    </font>
    <font>
      <sz val="10"/>
      <color theme="0"/>
      <name val="Franklin Gothic Medium"/>
      <family val="2"/>
    </font>
    <font>
      <sz val="9"/>
      <name val="Franklin Gothic Medium"/>
      <family val="2"/>
    </font>
    <font>
      <sz val="9"/>
      <name val="Franklin Gothic Medium"/>
      <family val="2"/>
      <scheme val="minor"/>
    </font>
    <font>
      <sz val="9"/>
      <color theme="1"/>
      <name val="Franklin Gothic Medium"/>
      <family val="2"/>
      <scheme val="minor"/>
    </font>
    <font>
      <b/>
      <sz val="11"/>
      <name val="Franklin Gothic Medium"/>
      <family val="2"/>
      <scheme val="minor"/>
    </font>
    <font>
      <sz val="12"/>
      <name val="Franklin Gothic Medium"/>
      <family val="2"/>
      <scheme val="minor"/>
    </font>
    <font>
      <sz val="14"/>
      <name val="Arial"/>
      <family val="2"/>
    </font>
    <font>
      <sz val="14"/>
      <color theme="0"/>
      <name val="Arial"/>
      <family val="2"/>
    </font>
    <font>
      <sz val="14"/>
      <color theme="1"/>
      <name val="Arial"/>
      <family val="2"/>
    </font>
    <font>
      <sz val="10"/>
      <color rgb="FFC00000"/>
      <name val="Franklin Gothic Medium"/>
      <family val="2"/>
    </font>
    <font>
      <sz val="11"/>
      <color rgb="FFC00000"/>
      <name val="Wingdings 3"/>
      <family val="1"/>
      <charset val="2"/>
    </font>
    <font>
      <sz val="14"/>
      <color rgb="FFC00000"/>
      <name val="Arial"/>
      <family val="2"/>
    </font>
    <font>
      <sz val="11"/>
      <color rgb="FFC00000"/>
      <name val="Franklin Gothic Medium"/>
      <family val="2"/>
    </font>
    <font>
      <sz val="14"/>
      <color theme="0"/>
      <name val="Franklin Gothic Medium"/>
      <family val="2"/>
      <scheme val="minor"/>
    </font>
    <font>
      <sz val="12"/>
      <color rgb="FFC00000"/>
      <name val="Franklin Gothic Medium"/>
      <family val="2"/>
      <scheme val="minor"/>
    </font>
    <font>
      <b/>
      <sz val="14"/>
      <name val="Arial"/>
      <family val="2"/>
    </font>
    <font>
      <sz val="12"/>
      <color rgb="FFFF0000"/>
      <name val="Franklin Gothic Medium"/>
      <family val="2"/>
    </font>
    <font>
      <b/>
      <i/>
      <sz val="12"/>
      <color rgb="FFFF0000"/>
      <name val="Franklin Gothic Medium"/>
      <family val="2"/>
      <scheme val="minor"/>
    </font>
    <font>
      <sz val="10"/>
      <color rgb="FFFF0000"/>
      <name val="Franklin Gothic Medium"/>
      <family val="2"/>
      <scheme val="minor"/>
    </font>
    <font>
      <sz val="14"/>
      <color rgb="FFFF0000"/>
      <name val="Franklin Gothic Medium"/>
      <family val="2"/>
      <scheme val="minor"/>
    </font>
  </fonts>
  <fills count="19">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9" tint="-0.249977111117893"/>
        <bgColor indexed="64"/>
      </patternFill>
    </fill>
    <fill>
      <patternFill patternType="solid">
        <fgColor theme="6" tint="-0.249977111117893"/>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6"/>
        <bgColor indexed="64"/>
      </patternFill>
    </fill>
    <fill>
      <patternFill patternType="solid">
        <fgColor theme="6" tint="0.79998168889431442"/>
        <bgColor indexed="64"/>
      </patternFill>
    </fill>
    <fill>
      <patternFill patternType="solid">
        <fgColor theme="6" tint="0.59999389629810485"/>
        <bgColor indexed="64"/>
      </patternFill>
    </fill>
    <fill>
      <patternFill patternType="solid">
        <fgColor theme="4" tint="0.39997558519241921"/>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rgb="FFFFFF00"/>
        <bgColor indexed="64"/>
      </patternFill>
    </fill>
    <fill>
      <patternFill patternType="solid">
        <fgColor theme="7" tint="0.79998168889431442"/>
        <bgColor indexed="64"/>
      </patternFill>
    </fill>
    <fill>
      <patternFill patternType="solid">
        <fgColor theme="5" tint="0.59999389629810485"/>
        <bgColor indexed="64"/>
      </patternFill>
    </fill>
    <fill>
      <patternFill patternType="solid">
        <fgColor theme="7" tint="0.59999389629810485"/>
        <bgColor indexed="64"/>
      </patternFill>
    </fill>
  </fills>
  <borders count="21">
    <border>
      <left/>
      <right/>
      <top/>
      <bottom/>
      <diagonal/>
    </border>
    <border>
      <left/>
      <right/>
      <top/>
      <bottom style="thick">
        <color theme="1"/>
      </bottom>
      <diagonal/>
    </border>
    <border>
      <left/>
      <right/>
      <top style="thin">
        <color theme="0" tint="-0.24994659260841701"/>
      </top>
      <bottom style="thin">
        <color theme="0" tint="-0.24994659260841701"/>
      </bottom>
      <diagonal/>
    </border>
    <border>
      <left/>
      <right/>
      <top/>
      <bottom style="thin">
        <color theme="0" tint="-0.24994659260841701"/>
      </bottom>
      <diagonal/>
    </border>
    <border>
      <left/>
      <right style="thin">
        <color theme="0"/>
      </right>
      <top style="thin">
        <color theme="0"/>
      </top>
      <bottom style="thin">
        <color theme="0"/>
      </bottom>
      <diagonal/>
    </border>
    <border>
      <left/>
      <right/>
      <top style="hair">
        <color theme="0" tint="-0.24994659260841701"/>
      </top>
      <bottom style="hair">
        <color theme="0" tint="-0.24994659260841701"/>
      </bottom>
      <diagonal/>
    </border>
    <border>
      <left/>
      <right/>
      <top style="hair">
        <color theme="0" tint="-0.24994659260841701"/>
      </top>
      <bottom/>
      <diagonal/>
    </border>
    <border>
      <left/>
      <right/>
      <top/>
      <bottom style="hair">
        <color theme="0" tint="-0.24994659260841701"/>
      </bottom>
      <diagonal/>
    </border>
    <border>
      <left style="thin">
        <color indexed="64"/>
      </left>
      <right style="thin">
        <color indexed="64"/>
      </right>
      <top style="thin">
        <color indexed="64"/>
      </top>
      <bottom style="thin">
        <color indexed="64"/>
      </bottom>
      <diagonal/>
    </border>
    <border>
      <left/>
      <right/>
      <top/>
      <bottom style="hair">
        <color theme="7" tint="-0.24994659260841701"/>
      </bottom>
      <diagonal/>
    </border>
    <border>
      <left/>
      <right/>
      <top style="hair">
        <color theme="7" tint="-0.24994659260841701"/>
      </top>
      <bottom style="hair">
        <color theme="7" tint="-0.24994659260841701"/>
      </bottom>
      <diagonal/>
    </border>
    <border>
      <left/>
      <right/>
      <top style="thin">
        <color theme="7" tint="-0.24994659260841701"/>
      </top>
      <bottom style="thin">
        <color theme="7" tint="-0.24994659260841701"/>
      </bottom>
      <diagonal/>
    </border>
    <border>
      <left/>
      <right/>
      <top/>
      <bottom style="thin">
        <color theme="7" tint="-0.2499465926084170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9">
    <xf numFmtId="0" fontId="0" fillId="0" borderId="0">
      <alignment vertical="center"/>
    </xf>
    <xf numFmtId="0" fontId="2" fillId="0" borderId="1" applyNumberFormat="0" applyFill="0" applyProtection="0"/>
    <xf numFmtId="0" fontId="3" fillId="0" borderId="0" applyNumberFormat="0" applyFill="0" applyProtection="0">
      <alignment vertical="center"/>
    </xf>
    <xf numFmtId="0" fontId="4" fillId="0" borderId="0" applyNumberFormat="0" applyFill="0" applyBorder="0" applyProtection="0">
      <alignment vertical="center"/>
    </xf>
    <xf numFmtId="0" fontId="5" fillId="0" borderId="0" applyNumberFormat="0" applyFill="0" applyBorder="0" applyProtection="0">
      <alignment vertical="center"/>
    </xf>
    <xf numFmtId="0" fontId="10" fillId="0" borderId="0"/>
    <xf numFmtId="43" fontId="10" fillId="0" borderId="0" applyFont="0" applyFill="0" applyBorder="0" applyAlignment="0" applyProtection="0"/>
    <xf numFmtId="9" fontId="10" fillId="0" borderId="0" applyFont="0" applyFill="0" applyBorder="0" applyAlignment="0" applyProtection="0"/>
    <xf numFmtId="0" fontId="1" fillId="0" borderId="0"/>
    <xf numFmtId="41" fontId="1" fillId="0" borderId="0" applyFont="0" applyFill="0" applyBorder="0" applyAlignment="0" applyProtection="0"/>
    <xf numFmtId="43" fontId="1" fillId="0" borderId="0" applyFont="0" applyFill="0" applyBorder="0" applyAlignment="0" applyProtection="0"/>
    <xf numFmtId="41" fontId="25" fillId="0" borderId="0" applyFont="0" applyFill="0" applyBorder="0" applyAlignment="0" applyProtection="0"/>
    <xf numFmtId="41" fontId="26" fillId="0" borderId="0" applyFont="0" applyFill="0" applyBorder="0" applyAlignment="0" applyProtection="0"/>
    <xf numFmtId="0" fontId="27" fillId="0" borderId="0" applyNumberFormat="0" applyFill="0" applyBorder="0" applyAlignment="0" applyProtection="0">
      <alignment vertical="top"/>
      <protection locked="0"/>
    </xf>
    <xf numFmtId="0" fontId="28" fillId="0" borderId="0"/>
    <xf numFmtId="0" fontId="28" fillId="0" borderId="0"/>
    <xf numFmtId="0" fontId="9" fillId="0" borderId="0">
      <alignment vertical="center"/>
    </xf>
    <xf numFmtId="9" fontId="1" fillId="0" borderId="0" applyFont="0" applyFill="0" applyBorder="0" applyAlignment="0" applyProtection="0"/>
    <xf numFmtId="41" fontId="9" fillId="0" borderId="0" applyFont="0" applyFill="0" applyBorder="0" applyAlignment="0" applyProtection="0"/>
  </cellStyleXfs>
  <cellXfs count="317">
    <xf numFmtId="0" fontId="0" fillId="0" borderId="0" xfId="0">
      <alignment vertical="center"/>
    </xf>
    <xf numFmtId="0" fontId="0" fillId="0" borderId="0" xfId="0" applyFont="1">
      <alignment vertical="center"/>
    </xf>
    <xf numFmtId="0" fontId="0" fillId="0" borderId="0" xfId="0" applyAlignment="1">
      <alignment vertical="center"/>
    </xf>
    <xf numFmtId="0" fontId="6" fillId="0" borderId="0" xfId="0" applyFont="1" applyAlignment="1">
      <alignment vertical="center" wrapText="1"/>
    </xf>
    <xf numFmtId="0" fontId="7" fillId="0" borderId="0" xfId="0" applyFont="1">
      <alignment vertical="center"/>
    </xf>
    <xf numFmtId="0" fontId="0" fillId="0" borderId="2" xfId="0" applyFont="1" applyBorder="1" applyAlignment="1">
      <alignment horizontal="center" vertical="center"/>
    </xf>
    <xf numFmtId="0" fontId="0" fillId="0" borderId="2" xfId="0" applyFont="1" applyBorder="1" applyAlignment="1">
      <alignment horizontal="left" vertical="center"/>
    </xf>
    <xf numFmtId="0" fontId="0" fillId="0" borderId="2" xfId="0" applyFont="1" applyFill="1" applyBorder="1" applyAlignment="1">
      <alignment horizontal="center" vertical="center"/>
    </xf>
    <xf numFmtId="0" fontId="0" fillId="0" borderId="2" xfId="0" applyFont="1" applyFill="1" applyBorder="1" applyAlignment="1">
      <alignment horizontal="left" vertical="center"/>
    </xf>
    <xf numFmtId="0" fontId="0" fillId="0" borderId="2" xfId="0" quotePrefix="1" applyFont="1" applyBorder="1" applyAlignment="1">
      <alignment horizontal="center" vertical="center"/>
    </xf>
    <xf numFmtId="0" fontId="0" fillId="0" borderId="3" xfId="0" applyFont="1" applyBorder="1" applyAlignment="1">
      <alignment horizontal="center" vertical="center"/>
    </xf>
    <xf numFmtId="0" fontId="0" fillId="0" borderId="3" xfId="0" applyFont="1" applyBorder="1" applyAlignment="1">
      <alignment horizontal="left" vertical="center"/>
    </xf>
    <xf numFmtId="0" fontId="0" fillId="0" borderId="3" xfId="0" quotePrefix="1" applyFont="1" applyBorder="1" applyAlignment="1">
      <alignment horizontal="center" vertical="center"/>
    </xf>
    <xf numFmtId="0" fontId="0" fillId="0" borderId="2" xfId="0" quotePrefix="1" applyFont="1" applyBorder="1" applyAlignment="1">
      <alignment horizontal="left" vertical="center"/>
    </xf>
    <xf numFmtId="0" fontId="0" fillId="0" borderId="2" xfId="0" applyFont="1" applyBorder="1" applyAlignment="1">
      <alignment horizontal="left" vertical="center" indent="2"/>
    </xf>
    <xf numFmtId="0" fontId="0" fillId="0" borderId="2" xfId="0" applyFill="1" applyBorder="1" applyAlignment="1">
      <alignment horizontal="center" vertical="center"/>
    </xf>
    <xf numFmtId="0" fontId="10" fillId="0" borderId="0" xfId="5"/>
    <xf numFmtId="0" fontId="10" fillId="0" borderId="0" xfId="5" applyAlignment="1">
      <alignment horizontal="center" vertical="center"/>
    </xf>
    <xf numFmtId="0" fontId="10" fillId="0" borderId="0" xfId="5" applyAlignment="1">
      <alignment vertical="center"/>
    </xf>
    <xf numFmtId="0" fontId="11" fillId="3" borderId="4" xfId="5" applyFont="1" applyFill="1" applyBorder="1" applyAlignment="1">
      <alignment horizontal="center" wrapText="1"/>
    </xf>
    <xf numFmtId="3" fontId="10" fillId="0" borderId="0" xfId="5" applyNumberFormat="1"/>
    <xf numFmtId="0" fontId="10" fillId="0" borderId="0" xfId="5" applyAlignment="1">
      <alignment horizontal="left" indent="1"/>
    </xf>
    <xf numFmtId="0" fontId="10" fillId="0" borderId="0" xfId="5" applyAlignment="1">
      <alignment horizontal="center"/>
    </xf>
    <xf numFmtId="164" fontId="0" fillId="0" borderId="0" xfId="6" applyNumberFormat="1" applyFont="1"/>
    <xf numFmtId="3" fontId="10" fillId="0" borderId="0" xfId="5" applyNumberFormat="1" applyAlignment="1">
      <alignment horizontal="center"/>
    </xf>
    <xf numFmtId="9" fontId="0" fillId="0" borderId="0" xfId="7" applyFont="1"/>
    <xf numFmtId="3" fontId="10" fillId="3" borderId="4" xfId="5" applyNumberFormat="1" applyFill="1" applyBorder="1"/>
    <xf numFmtId="164" fontId="10" fillId="0" borderId="0" xfId="5" applyNumberFormat="1"/>
    <xf numFmtId="0" fontId="12" fillId="0" borderId="0" xfId="5" applyFont="1"/>
    <xf numFmtId="0" fontId="1" fillId="0" borderId="0" xfId="8"/>
    <xf numFmtId="0" fontId="1" fillId="0" borderId="0" xfId="8" applyAlignment="1">
      <alignment horizontal="right" vertical="center"/>
    </xf>
    <xf numFmtId="0" fontId="1" fillId="0" borderId="0" xfId="8" applyAlignment="1">
      <alignment horizontal="center" vertical="center"/>
    </xf>
    <xf numFmtId="0" fontId="14" fillId="0" borderId="0" xfId="8" applyFont="1" applyAlignment="1">
      <alignment horizontal="center"/>
    </xf>
    <xf numFmtId="0" fontId="7" fillId="0" borderId="0" xfId="8" applyFont="1"/>
    <xf numFmtId="0" fontId="15" fillId="0" borderId="0" xfId="8" applyFont="1"/>
    <xf numFmtId="0" fontId="15" fillId="0" borderId="0" xfId="8" applyFont="1" applyFill="1" applyAlignment="1">
      <alignment horizontal="center" vertical="center"/>
    </xf>
    <xf numFmtId="0" fontId="15" fillId="0" borderId="0" xfId="8" applyFont="1" applyFill="1" applyAlignment="1">
      <alignment vertical="center"/>
    </xf>
    <xf numFmtId="0" fontId="16" fillId="0" borderId="0" xfId="8" quotePrefix="1" applyFont="1" applyFill="1" applyAlignment="1">
      <alignment horizontal="center" vertical="center"/>
    </xf>
    <xf numFmtId="0" fontId="15" fillId="0" borderId="0" xfId="8" applyFont="1" applyFill="1" applyAlignment="1">
      <alignment horizontal="center"/>
    </xf>
    <xf numFmtId="0" fontId="17" fillId="0" borderId="0" xfId="8" applyFont="1" applyFill="1"/>
    <xf numFmtId="0" fontId="17" fillId="0" borderId="0" xfId="8" applyFont="1"/>
    <xf numFmtId="0" fontId="18" fillId="0" borderId="0" xfId="8" applyFont="1"/>
    <xf numFmtId="0" fontId="15" fillId="6" borderId="0" xfId="8" applyFont="1" applyFill="1" applyAlignment="1">
      <alignment horizontal="center"/>
    </xf>
    <xf numFmtId="0" fontId="15" fillId="6" borderId="0" xfId="8" applyFont="1" applyFill="1" applyAlignment="1">
      <alignment vertical="center"/>
    </xf>
    <xf numFmtId="0" fontId="19" fillId="0" borderId="0" xfId="8" applyFont="1"/>
    <xf numFmtId="0" fontId="15" fillId="0" borderId="5" xfId="8" quotePrefix="1" applyFont="1" applyBorder="1" applyAlignment="1">
      <alignment horizontal="center" vertical="center"/>
    </xf>
    <xf numFmtId="41" fontId="15" fillId="0" borderId="5" xfId="9" applyFont="1" applyBorder="1" applyAlignment="1" applyProtection="1">
      <alignment horizontal="left" vertical="center"/>
      <protection locked="0"/>
    </xf>
    <xf numFmtId="0" fontId="20" fillId="0" borderId="5" xfId="8" applyFont="1" applyBorder="1" applyAlignment="1">
      <alignment horizontal="center" vertical="center"/>
    </xf>
    <xf numFmtId="164" fontId="21" fillId="0" borderId="5" xfId="10" applyNumberFormat="1" applyFont="1" applyBorder="1" applyAlignment="1">
      <alignment vertical="center"/>
    </xf>
    <xf numFmtId="164" fontId="0" fillId="0" borderId="5" xfId="10" applyNumberFormat="1" applyFont="1" applyBorder="1" applyAlignment="1"/>
    <xf numFmtId="0" fontId="1" fillId="0" borderId="5" xfId="8" applyBorder="1"/>
    <xf numFmtId="164" fontId="15" fillId="2" borderId="5" xfId="10" applyNumberFormat="1" applyFont="1" applyFill="1" applyBorder="1" applyAlignment="1">
      <alignment horizontal="right"/>
    </xf>
    <xf numFmtId="164" fontId="21" fillId="0" borderId="5" xfId="10" applyNumberFormat="1" applyFont="1" applyFill="1" applyBorder="1" applyAlignment="1">
      <alignment vertical="center"/>
    </xf>
    <xf numFmtId="164" fontId="15" fillId="0" borderId="5" xfId="10" applyNumberFormat="1" applyFont="1" applyBorder="1" applyAlignment="1">
      <alignment horizontal="right"/>
    </xf>
    <xf numFmtId="0" fontId="15" fillId="0" borderId="5" xfId="8" quotePrefix="1" applyFont="1" applyFill="1" applyBorder="1" applyAlignment="1">
      <alignment horizontal="center" vertical="center"/>
    </xf>
    <xf numFmtId="41" fontId="15" fillId="0" borderId="5" xfId="9" applyFont="1" applyFill="1" applyBorder="1" applyAlignment="1" applyProtection="1">
      <alignment horizontal="left" vertical="center" indent="2"/>
      <protection locked="0"/>
    </xf>
    <xf numFmtId="0" fontId="20" fillId="0" borderId="5" xfId="8" applyFont="1" applyFill="1" applyBorder="1" applyAlignment="1">
      <alignment horizontal="center" vertical="center"/>
    </xf>
    <xf numFmtId="0" fontId="15" fillId="0" borderId="6" xfId="8" quotePrefix="1" applyFont="1" applyFill="1" applyBorder="1" applyAlignment="1">
      <alignment horizontal="center" vertical="center"/>
    </xf>
    <xf numFmtId="41" fontId="15" fillId="0" borderId="6" xfId="9" applyFont="1" applyFill="1" applyBorder="1" applyAlignment="1" applyProtection="1">
      <alignment horizontal="left" vertical="center" indent="2"/>
      <protection locked="0"/>
    </xf>
    <xf numFmtId="0" fontId="20" fillId="0" borderId="6" xfId="8" applyFont="1" applyFill="1" applyBorder="1" applyAlignment="1">
      <alignment horizontal="center" vertical="center"/>
    </xf>
    <xf numFmtId="164" fontId="21" fillId="0" borderId="6" xfId="10" applyNumberFormat="1" applyFont="1" applyFill="1" applyBorder="1" applyAlignment="1">
      <alignment vertical="center"/>
    </xf>
    <xf numFmtId="0" fontId="1" fillId="0" borderId="6" xfId="8" applyFill="1" applyBorder="1"/>
    <xf numFmtId="164" fontId="15" fillId="0" borderId="6" xfId="10" applyNumberFormat="1" applyFont="1" applyFill="1" applyBorder="1" applyAlignment="1">
      <alignment horizontal="right"/>
    </xf>
    <xf numFmtId="0" fontId="15" fillId="6" borderId="7" xfId="8" applyFont="1" applyFill="1" applyBorder="1" applyAlignment="1">
      <alignment horizontal="center"/>
    </xf>
    <xf numFmtId="41" fontId="15" fillId="6" borderId="7" xfId="9" applyFont="1" applyFill="1" applyBorder="1" applyAlignment="1" applyProtection="1">
      <alignment horizontal="left" vertical="center"/>
      <protection locked="0"/>
    </xf>
    <xf numFmtId="0" fontId="20" fillId="0" borderId="7" xfId="8" applyFont="1" applyFill="1" applyBorder="1" applyAlignment="1">
      <alignment horizontal="center"/>
    </xf>
    <xf numFmtId="164" fontId="21" fillId="0" borderId="7" xfId="10" applyNumberFormat="1" applyFont="1" applyFill="1" applyBorder="1" applyAlignment="1">
      <alignment vertical="center"/>
    </xf>
    <xf numFmtId="164" fontId="0" fillId="0" borderId="7" xfId="10" applyNumberFormat="1" applyFont="1" applyBorder="1" applyAlignment="1"/>
    <xf numFmtId="0" fontId="1" fillId="0" borderId="7" xfId="8" applyBorder="1"/>
    <xf numFmtId="164" fontId="15" fillId="0" borderId="7" xfId="10" applyNumberFormat="1" applyFont="1" applyBorder="1" applyAlignment="1">
      <alignment horizontal="right"/>
    </xf>
    <xf numFmtId="41" fontId="15" fillId="0" borderId="5" xfId="9" applyFont="1" applyFill="1" applyBorder="1" applyAlignment="1" applyProtection="1">
      <alignment horizontal="left" vertical="center"/>
      <protection locked="0"/>
    </xf>
    <xf numFmtId="164" fontId="0" fillId="0" borderId="5" xfId="10" applyNumberFormat="1" applyFont="1" applyFill="1" applyBorder="1" applyAlignment="1"/>
    <xf numFmtId="164" fontId="0" fillId="0" borderId="6" xfId="10" applyNumberFormat="1" applyFont="1" applyFill="1" applyBorder="1" applyAlignment="1"/>
    <xf numFmtId="0" fontId="15" fillId="6" borderId="7" xfId="8" quotePrefix="1" applyFont="1" applyFill="1" applyBorder="1" applyAlignment="1">
      <alignment horizontal="center" vertical="center"/>
    </xf>
    <xf numFmtId="0" fontId="20" fillId="0" borderId="7" xfId="8" applyFont="1" applyBorder="1" applyAlignment="1">
      <alignment horizontal="center" vertical="center"/>
    </xf>
    <xf numFmtId="164" fontId="21" fillId="0" borderId="7" xfId="10" applyNumberFormat="1" applyFont="1" applyBorder="1" applyAlignment="1">
      <alignment vertical="center"/>
    </xf>
    <xf numFmtId="0" fontId="14" fillId="0" borderId="5" xfId="8" applyFont="1" applyBorder="1" applyAlignment="1">
      <alignment horizontal="center"/>
    </xf>
    <xf numFmtId="41" fontId="22" fillId="0" borderId="5" xfId="9" applyFont="1" applyFill="1" applyBorder="1" applyAlignment="1" applyProtection="1">
      <alignment horizontal="left" vertical="center"/>
      <protection locked="0"/>
    </xf>
    <xf numFmtId="164" fontId="14" fillId="0" borderId="5" xfId="10" applyNumberFormat="1" applyFont="1" applyFill="1" applyBorder="1" applyAlignment="1"/>
    <xf numFmtId="164" fontId="21" fillId="7" borderId="5" xfId="10" applyNumberFormat="1" applyFont="1" applyFill="1" applyBorder="1" applyAlignment="1">
      <alignment vertical="center"/>
    </xf>
    <xf numFmtId="41" fontId="15" fillId="0" borderId="6" xfId="9" applyFont="1" applyFill="1" applyBorder="1" applyAlignment="1" applyProtection="1">
      <alignment horizontal="left" vertical="center"/>
      <protection locked="0"/>
    </xf>
    <xf numFmtId="0" fontId="14" fillId="0" borderId="6" xfId="8" applyFont="1" applyFill="1" applyBorder="1" applyAlignment="1">
      <alignment horizontal="center"/>
    </xf>
    <xf numFmtId="0" fontId="1" fillId="6" borderId="7" xfId="8" applyFill="1" applyBorder="1" applyAlignment="1">
      <alignment horizontal="center"/>
    </xf>
    <xf numFmtId="0" fontId="24" fillId="0" borderId="0" xfId="8" applyFont="1"/>
    <xf numFmtId="0" fontId="29" fillId="0" borderId="0" xfId="8" applyFont="1"/>
    <xf numFmtId="0" fontId="30" fillId="0" borderId="0" xfId="8" applyFont="1"/>
    <xf numFmtId="0" fontId="17" fillId="0" borderId="0" xfId="8" quotePrefix="1" applyFont="1" applyAlignment="1">
      <alignment horizontal="center" vertical="center"/>
    </xf>
    <xf numFmtId="0" fontId="17" fillId="0" borderId="0" xfId="8" applyFont="1" applyAlignment="1">
      <alignment vertical="center"/>
    </xf>
    <xf numFmtId="0" fontId="29" fillId="0" borderId="0" xfId="8" applyFont="1" applyAlignment="1">
      <alignment vertical="center"/>
    </xf>
    <xf numFmtId="0" fontId="15" fillId="0" borderId="0" xfId="8" applyFont="1" applyAlignment="1">
      <alignment vertical="center"/>
    </xf>
    <xf numFmtId="0" fontId="15" fillId="0" borderId="9" xfId="8" quotePrefix="1" applyFont="1" applyBorder="1" applyAlignment="1">
      <alignment horizontal="center" vertical="center"/>
    </xf>
    <xf numFmtId="41" fontId="15" fillId="0" borderId="9" xfId="9" applyFont="1" applyBorder="1" applyAlignment="1" applyProtection="1">
      <alignment horizontal="left" vertical="center"/>
      <protection locked="0"/>
    </xf>
    <xf numFmtId="0" fontId="15" fillId="0" borderId="9" xfId="8" applyFont="1" applyBorder="1"/>
    <xf numFmtId="0" fontId="32" fillId="0" borderId="9" xfId="8" applyFont="1" applyBorder="1" applyAlignment="1">
      <alignment horizontal="center" vertical="center"/>
    </xf>
    <xf numFmtId="0" fontId="15" fillId="0" borderId="10" xfId="8" quotePrefix="1" applyFont="1" applyBorder="1" applyAlignment="1">
      <alignment horizontal="center" vertical="center"/>
    </xf>
    <xf numFmtId="41" fontId="15" fillId="0" borderId="10" xfId="9" applyFont="1" applyBorder="1" applyAlignment="1" applyProtection="1">
      <alignment horizontal="left" vertical="center"/>
      <protection locked="0"/>
    </xf>
    <xf numFmtId="0" fontId="15" fillId="0" borderId="10" xfId="8" applyFont="1" applyBorder="1"/>
    <xf numFmtId="0" fontId="15" fillId="0" borderId="10" xfId="8" applyFont="1" applyFill="1" applyBorder="1"/>
    <xf numFmtId="41" fontId="15" fillId="0" borderId="10" xfId="9" applyFont="1" applyFill="1" applyBorder="1" applyAlignment="1" applyProtection="1">
      <alignment horizontal="left" vertical="center"/>
      <protection locked="0"/>
    </xf>
    <xf numFmtId="0" fontId="32" fillId="0" borderId="10" xfId="8" applyFont="1" applyFill="1" applyBorder="1" applyAlignment="1">
      <alignment horizontal="center"/>
    </xf>
    <xf numFmtId="0" fontId="15" fillId="0" borderId="10" xfId="8" quotePrefix="1" applyFont="1" applyFill="1" applyBorder="1" applyAlignment="1">
      <alignment horizontal="center" vertical="center"/>
    </xf>
    <xf numFmtId="0" fontId="33" fillId="0" borderId="0" xfId="8" applyFont="1"/>
    <xf numFmtId="164" fontId="34" fillId="0" borderId="6" xfId="10" applyNumberFormat="1" applyFont="1" applyFill="1" applyBorder="1" applyAlignment="1"/>
    <xf numFmtId="164" fontId="34" fillId="0" borderId="7" xfId="10" applyNumberFormat="1" applyFont="1" applyFill="1" applyBorder="1" applyAlignment="1"/>
    <xf numFmtId="0" fontId="36" fillId="4" borderId="0" xfId="5" applyFont="1" applyFill="1" applyAlignment="1">
      <alignment horizontal="center"/>
    </xf>
    <xf numFmtId="0" fontId="36" fillId="5" borderId="0" xfId="5" applyFont="1" applyFill="1" applyAlignment="1">
      <alignment horizontal="center"/>
    </xf>
    <xf numFmtId="0" fontId="35" fillId="0" borderId="0" xfId="5" applyFont="1" applyAlignment="1">
      <alignment horizontal="center" vertical="center"/>
    </xf>
    <xf numFmtId="0" fontId="35" fillId="0" borderId="0" xfId="5" applyFont="1" applyAlignment="1">
      <alignment horizontal="center" vertical="center" wrapText="1"/>
    </xf>
    <xf numFmtId="0" fontId="17" fillId="0" borderId="2" xfId="8" quotePrefix="1" applyFont="1" applyBorder="1" applyAlignment="1">
      <alignment horizontal="center" vertical="center"/>
    </xf>
    <xf numFmtId="0" fontId="17" fillId="0" borderId="2" xfId="8" applyFont="1" applyBorder="1" applyAlignment="1">
      <alignment vertical="center"/>
    </xf>
    <xf numFmtId="0" fontId="17" fillId="0" borderId="2" xfId="8" quotePrefix="1" applyFont="1" applyFill="1" applyBorder="1" applyAlignment="1">
      <alignment horizontal="center" vertical="center"/>
    </xf>
    <xf numFmtId="0" fontId="17" fillId="0" borderId="2" xfId="8" applyFont="1" applyFill="1" applyBorder="1" applyAlignment="1">
      <alignment vertical="center"/>
    </xf>
    <xf numFmtId="0" fontId="15" fillId="2" borderId="0" xfId="8" applyFont="1" applyFill="1" applyAlignment="1">
      <alignment horizontal="center" vertical="center"/>
    </xf>
    <xf numFmtId="0" fontId="15" fillId="2" borderId="0" xfId="8" applyFont="1" applyFill="1" applyAlignment="1">
      <alignment vertical="center"/>
    </xf>
    <xf numFmtId="0" fontId="15" fillId="2" borderId="0" xfId="8" applyFont="1" applyFill="1"/>
    <xf numFmtId="0" fontId="16" fillId="2" borderId="0" xfId="8" applyFont="1" applyFill="1"/>
    <xf numFmtId="0" fontId="17" fillId="2" borderId="0" xfId="8" applyFont="1" applyFill="1"/>
    <xf numFmtId="0" fontId="31" fillId="2" borderId="0" xfId="8" applyFont="1" applyFill="1"/>
    <xf numFmtId="0" fontId="15" fillId="8" borderId="0" xfId="8" applyFont="1" applyFill="1"/>
    <xf numFmtId="0" fontId="15" fillId="8" borderId="0" xfId="8" applyFont="1" applyFill="1" applyAlignment="1">
      <alignment vertical="center"/>
    </xf>
    <xf numFmtId="0" fontId="15" fillId="8" borderId="8" xfId="8" applyFont="1" applyFill="1" applyBorder="1" applyAlignment="1">
      <alignment horizontal="center"/>
    </xf>
    <xf numFmtId="0" fontId="15" fillId="8" borderId="8" xfId="8" applyFont="1" applyFill="1" applyBorder="1"/>
    <xf numFmtId="0" fontId="19" fillId="8" borderId="0" xfId="8" applyFont="1" applyFill="1"/>
    <xf numFmtId="41" fontId="15" fillId="12" borderId="5" xfId="9" applyFont="1" applyFill="1" applyBorder="1" applyAlignment="1" applyProtection="1">
      <alignment horizontal="left" vertical="center"/>
      <protection locked="0"/>
    </xf>
    <xf numFmtId="0" fontId="15" fillId="12" borderId="5" xfId="8" quotePrefix="1" applyFont="1" applyFill="1" applyBorder="1" applyAlignment="1">
      <alignment horizontal="center" vertical="center"/>
    </xf>
    <xf numFmtId="164" fontId="15" fillId="12" borderId="5" xfId="8" applyNumberFormat="1" applyFont="1" applyFill="1" applyBorder="1"/>
    <xf numFmtId="41" fontId="15" fillId="9" borderId="5" xfId="9" applyFont="1" applyFill="1" applyBorder="1" applyAlignment="1" applyProtection="1">
      <alignment horizontal="left" vertical="center"/>
      <protection locked="0"/>
    </xf>
    <xf numFmtId="164" fontId="21" fillId="9" borderId="5" xfId="10" applyNumberFormat="1" applyFont="1" applyFill="1" applyBorder="1" applyAlignment="1">
      <alignment vertical="center"/>
    </xf>
    <xf numFmtId="164" fontId="15" fillId="9" borderId="5" xfId="10" applyNumberFormat="1" applyFont="1" applyFill="1" applyBorder="1" applyAlignment="1">
      <alignment horizontal="right"/>
    </xf>
    <xf numFmtId="0" fontId="0" fillId="9" borderId="0" xfId="0" applyFill="1" applyBorder="1">
      <alignment vertical="center"/>
    </xf>
    <xf numFmtId="0" fontId="0" fillId="9" borderId="0" xfId="0" quotePrefix="1" applyFill="1" applyBorder="1">
      <alignment vertical="center"/>
    </xf>
    <xf numFmtId="0" fontId="0" fillId="9" borderId="0" xfId="0" applyFont="1" applyFill="1" applyBorder="1">
      <alignment vertical="center"/>
    </xf>
    <xf numFmtId="0" fontId="0" fillId="0" borderId="2" xfId="0" applyFont="1" applyFill="1" applyBorder="1">
      <alignment vertical="center"/>
    </xf>
    <xf numFmtId="0" fontId="0" fillId="0" borderId="2" xfId="0" applyFill="1" applyBorder="1">
      <alignment vertical="center"/>
    </xf>
    <xf numFmtId="42" fontId="0" fillId="9" borderId="0" xfId="0" applyNumberFormat="1" applyFont="1" applyFill="1" applyBorder="1" applyAlignment="1">
      <alignment horizontal="right" vertical="center"/>
    </xf>
    <xf numFmtId="0" fontId="0" fillId="0" borderId="0" xfId="0" applyFont="1" applyFill="1" applyBorder="1" applyAlignment="1">
      <alignment horizontal="center" vertical="center"/>
    </xf>
    <xf numFmtId="37" fontId="8" fillId="0" borderId="0" xfId="0" applyNumberFormat="1" applyFont="1" applyFill="1" applyBorder="1" applyAlignment="1">
      <alignment horizontal="right" vertical="center"/>
    </xf>
    <xf numFmtId="0" fontId="8" fillId="0" borderId="0" xfId="0" applyFont="1" applyFill="1" applyBorder="1" applyAlignment="1">
      <alignment horizontal="right" vertical="center"/>
    </xf>
    <xf numFmtId="0" fontId="37" fillId="0" borderId="5" xfId="8" applyFont="1" applyBorder="1" applyAlignment="1">
      <alignment horizontal="center"/>
    </xf>
    <xf numFmtId="164" fontId="39" fillId="0" borderId="6" xfId="10" applyNumberFormat="1" applyFont="1" applyFill="1" applyBorder="1" applyAlignment="1">
      <alignment vertical="center"/>
    </xf>
    <xf numFmtId="164" fontId="38" fillId="0" borderId="7" xfId="10" applyNumberFormat="1" applyFont="1" applyFill="1" applyBorder="1" applyAlignment="1"/>
    <xf numFmtId="164" fontId="38" fillId="0" borderId="6" xfId="10" applyNumberFormat="1" applyFont="1" applyFill="1" applyBorder="1" applyAlignment="1"/>
    <xf numFmtId="41" fontId="24" fillId="0" borderId="5" xfId="9" applyFont="1" applyFill="1" applyBorder="1" applyAlignment="1" applyProtection="1">
      <alignment horizontal="left" vertical="center"/>
      <protection locked="0"/>
    </xf>
    <xf numFmtId="164" fontId="40" fillId="0" borderId="5" xfId="10" applyNumberFormat="1" applyFont="1" applyBorder="1" applyAlignment="1">
      <alignment vertical="center"/>
    </xf>
    <xf numFmtId="164" fontId="41" fillId="0" borderId="5" xfId="10" applyNumberFormat="1" applyFont="1" applyBorder="1" applyAlignment="1"/>
    <xf numFmtId="0" fontId="42" fillId="0" borderId="5" xfId="8" applyFont="1" applyBorder="1"/>
    <xf numFmtId="164" fontId="24" fillId="0" borderId="5" xfId="10" applyNumberFormat="1" applyFont="1" applyBorder="1" applyAlignment="1">
      <alignment horizontal="right"/>
    </xf>
    <xf numFmtId="0" fontId="0" fillId="14" borderId="0" xfId="0" applyFill="1">
      <alignment vertical="center"/>
    </xf>
    <xf numFmtId="0" fontId="0" fillId="14" borderId="0" xfId="0" applyFont="1" applyFill="1">
      <alignment vertical="center"/>
    </xf>
    <xf numFmtId="37" fontId="8" fillId="0" borderId="0" xfId="0" applyNumberFormat="1" applyFont="1" applyFill="1" applyBorder="1" applyAlignment="1">
      <alignment horizontal="right" vertical="center"/>
    </xf>
    <xf numFmtId="164" fontId="7" fillId="0" borderId="5" xfId="10" applyNumberFormat="1" applyFont="1" applyFill="1" applyBorder="1" applyAlignment="1"/>
    <xf numFmtId="164" fontId="21" fillId="0" borderId="5" xfId="8" applyNumberFormat="1" applyFont="1" applyFill="1" applyBorder="1"/>
    <xf numFmtId="164" fontId="7" fillId="0" borderId="6" xfId="10" applyNumberFormat="1" applyFont="1" applyFill="1" applyBorder="1" applyAlignment="1"/>
    <xf numFmtId="164" fontId="21" fillId="0" borderId="6" xfId="8" applyNumberFormat="1" applyFont="1" applyFill="1" applyBorder="1"/>
    <xf numFmtId="164" fontId="7" fillId="0" borderId="7" xfId="10" applyNumberFormat="1" applyFont="1" applyFill="1" applyBorder="1" applyAlignment="1"/>
    <xf numFmtId="164" fontId="21" fillId="0" borderId="7" xfId="8" applyNumberFormat="1" applyFont="1" applyFill="1" applyBorder="1"/>
    <xf numFmtId="0" fontId="7" fillId="0" borderId="0" xfId="0" applyFont="1" applyFill="1" applyBorder="1" applyAlignment="1">
      <alignment horizontal="center" vertical="center"/>
    </xf>
    <xf numFmtId="0" fontId="43" fillId="0" borderId="0" xfId="0" applyFont="1" applyBorder="1" applyAlignment="1">
      <alignment horizontal="left" vertical="center"/>
    </xf>
    <xf numFmtId="0" fontId="43" fillId="0" borderId="0" xfId="0" applyFont="1" applyFill="1" applyBorder="1" applyAlignment="1">
      <alignment horizontal="left" vertical="center"/>
    </xf>
    <xf numFmtId="0" fontId="43" fillId="0" borderId="0" xfId="0" applyFont="1" applyFill="1" applyBorder="1" applyAlignment="1">
      <alignment horizontal="center" vertical="center"/>
    </xf>
    <xf numFmtId="0" fontId="7" fillId="0" borderId="0" xfId="0" applyFont="1" applyBorder="1" applyAlignment="1">
      <alignment horizontal="center" vertical="center"/>
    </xf>
    <xf numFmtId="0" fontId="7" fillId="0" borderId="0" xfId="0" applyFont="1" applyBorder="1" applyAlignment="1">
      <alignment horizontal="left" vertical="center"/>
    </xf>
    <xf numFmtId="0" fontId="7" fillId="0" borderId="0" xfId="0" quotePrefix="1" applyFont="1" applyFill="1" applyBorder="1" applyAlignment="1">
      <alignment horizontal="center" vertical="center"/>
    </xf>
    <xf numFmtId="0" fontId="7" fillId="0" borderId="11" xfId="0" applyFont="1" applyBorder="1" applyAlignment="1">
      <alignment horizontal="center" vertical="center"/>
    </xf>
    <xf numFmtId="0" fontId="7" fillId="0" borderId="11" xfId="0" applyFont="1" applyBorder="1" applyAlignment="1">
      <alignment horizontal="left" vertical="center"/>
    </xf>
    <xf numFmtId="0" fontId="7" fillId="0" borderId="11" xfId="0" applyFont="1" applyFill="1" applyBorder="1" applyAlignment="1">
      <alignment horizontal="center" vertical="center"/>
    </xf>
    <xf numFmtId="0" fontId="7" fillId="0" borderId="11" xfId="0" applyFont="1" applyFill="1" applyBorder="1" applyAlignment="1">
      <alignment horizontal="left" vertical="center"/>
    </xf>
    <xf numFmtId="0" fontId="43" fillId="0" borderId="11" xfId="0" applyFont="1" applyBorder="1" applyAlignment="1">
      <alignment horizontal="left" vertical="center"/>
    </xf>
    <xf numFmtId="0" fontId="7" fillId="0" borderId="0" xfId="0" applyFont="1" applyFill="1" applyBorder="1" applyAlignment="1">
      <alignment horizontal="left" vertical="center"/>
    </xf>
    <xf numFmtId="0" fontId="7" fillId="13" borderId="11" xfId="0" applyFont="1" applyFill="1" applyBorder="1" applyAlignment="1">
      <alignment horizontal="center" vertical="center"/>
    </xf>
    <xf numFmtId="0" fontId="7" fillId="13" borderId="11" xfId="0" applyFont="1" applyFill="1" applyBorder="1" applyAlignment="1">
      <alignment horizontal="left" vertical="center"/>
    </xf>
    <xf numFmtId="0" fontId="7" fillId="0" borderId="11" xfId="0" applyFont="1" applyBorder="1">
      <alignment vertical="center"/>
    </xf>
    <xf numFmtId="0" fontId="7" fillId="0" borderId="0" xfId="0" applyFont="1" applyFill="1" applyBorder="1">
      <alignment vertical="center"/>
    </xf>
    <xf numFmtId="0" fontId="7" fillId="13" borderId="11" xfId="0" applyFont="1" applyFill="1" applyBorder="1">
      <alignment vertical="center"/>
    </xf>
    <xf numFmtId="0" fontId="44" fillId="0" borderId="0" xfId="0" applyFont="1" applyFill="1" applyBorder="1" applyAlignment="1">
      <alignment horizontal="center" vertical="center"/>
    </xf>
    <xf numFmtId="0" fontId="32" fillId="0" borderId="9" xfId="8" applyFont="1" applyFill="1" applyBorder="1" applyAlignment="1">
      <alignment horizontal="center" vertical="center"/>
    </xf>
    <xf numFmtId="0" fontId="45" fillId="0" borderId="0" xfId="8" applyFont="1" applyAlignment="1">
      <alignment vertical="center"/>
    </xf>
    <xf numFmtId="0" fontId="45" fillId="0" borderId="2" xfId="8" applyFont="1" applyBorder="1" applyAlignment="1">
      <alignment vertical="center"/>
    </xf>
    <xf numFmtId="0" fontId="45" fillId="0" borderId="2" xfId="8" applyFont="1" applyFill="1" applyBorder="1" applyAlignment="1">
      <alignment vertical="center"/>
    </xf>
    <xf numFmtId="38" fontId="45" fillId="0" borderId="0" xfId="10" applyNumberFormat="1" applyFont="1" applyAlignment="1">
      <alignment horizontal="right" vertical="center"/>
    </xf>
    <xf numFmtId="38" fontId="45" fillId="0" borderId="10" xfId="10" applyNumberFormat="1" applyFont="1" applyBorder="1" applyAlignment="1">
      <alignment horizontal="right" vertical="center"/>
    </xf>
    <xf numFmtId="38" fontId="45" fillId="0" borderId="10" xfId="10" applyNumberFormat="1" applyFont="1" applyFill="1" applyBorder="1" applyAlignment="1">
      <alignment horizontal="right" vertical="center"/>
    </xf>
    <xf numFmtId="38" fontId="45" fillId="0" borderId="0" xfId="10" applyNumberFormat="1" applyFont="1" applyFill="1" applyAlignment="1">
      <alignment horizontal="right" vertical="center"/>
    </xf>
    <xf numFmtId="164" fontId="21" fillId="2" borderId="5" xfId="10" applyNumberFormat="1" applyFont="1" applyFill="1" applyBorder="1" applyAlignment="1">
      <alignment vertical="center"/>
    </xf>
    <xf numFmtId="164" fontId="21" fillId="2" borderId="5" xfId="8" applyNumberFormat="1" applyFont="1" applyFill="1" applyBorder="1"/>
    <xf numFmtId="164" fontId="21" fillId="2" borderId="6" xfId="8" applyNumberFormat="1" applyFont="1" applyFill="1" applyBorder="1"/>
    <xf numFmtId="164" fontId="21" fillId="2" borderId="7" xfId="8" applyNumberFormat="1" applyFont="1" applyFill="1" applyBorder="1"/>
    <xf numFmtId="0" fontId="37" fillId="0" borderId="5" xfId="8" applyFont="1" applyFill="1" applyBorder="1" applyAlignment="1">
      <alignment horizontal="center"/>
    </xf>
    <xf numFmtId="0" fontId="7" fillId="0" borderId="5" xfId="8" applyFont="1" applyFill="1" applyBorder="1"/>
    <xf numFmtId="0" fontId="37" fillId="0" borderId="6" xfId="8" applyFont="1" applyFill="1" applyBorder="1" applyAlignment="1">
      <alignment horizontal="center"/>
    </xf>
    <xf numFmtId="0" fontId="7" fillId="0" borderId="6" xfId="8" applyFont="1" applyFill="1" applyBorder="1"/>
    <xf numFmtId="0" fontId="7" fillId="0" borderId="7" xfId="8" applyFont="1" applyFill="1" applyBorder="1"/>
    <xf numFmtId="0" fontId="21" fillId="2" borderId="7" xfId="8" applyFont="1" applyFill="1" applyBorder="1"/>
    <xf numFmtId="0" fontId="0" fillId="0" borderId="2" xfId="0" applyBorder="1" applyAlignment="1">
      <alignment horizontal="center" vertical="center"/>
    </xf>
    <xf numFmtId="0" fontId="0" fillId="0" borderId="2" xfId="0" applyBorder="1">
      <alignment vertical="center"/>
    </xf>
    <xf numFmtId="38" fontId="46" fillId="0" borderId="10" xfId="10" applyNumberFormat="1" applyFont="1" applyBorder="1" applyAlignment="1">
      <alignment horizontal="right" vertical="center"/>
    </xf>
    <xf numFmtId="38" fontId="46" fillId="0" borderId="10" xfId="10" applyNumberFormat="1" applyFont="1" applyFill="1" applyBorder="1" applyAlignment="1">
      <alignment horizontal="right" vertical="center"/>
    </xf>
    <xf numFmtId="41" fontId="15" fillId="15" borderId="10" xfId="9" applyFont="1" applyFill="1" applyBorder="1" applyAlignment="1" applyProtection="1">
      <alignment horizontal="left" vertical="center"/>
      <protection locked="0"/>
    </xf>
    <xf numFmtId="0" fontId="15" fillId="15" borderId="10" xfId="8" applyFont="1" applyFill="1" applyBorder="1"/>
    <xf numFmtId="0" fontId="32" fillId="15" borderId="9" xfId="8" applyFont="1" applyFill="1" applyBorder="1" applyAlignment="1">
      <alignment horizontal="center" vertical="center"/>
    </xf>
    <xf numFmtId="38" fontId="45" fillId="15" borderId="10" xfId="10" applyNumberFormat="1" applyFont="1" applyFill="1" applyBorder="1" applyAlignment="1">
      <alignment horizontal="right" vertical="center"/>
    </xf>
    <xf numFmtId="0" fontId="45" fillId="11" borderId="0" xfId="8" applyFont="1" applyFill="1" applyAlignment="1">
      <alignment vertical="center"/>
    </xf>
    <xf numFmtId="0" fontId="45" fillId="16" borderId="2" xfId="8" applyFont="1" applyFill="1" applyBorder="1" applyAlignment="1">
      <alignment vertical="center"/>
    </xf>
    <xf numFmtId="38" fontId="47" fillId="0" borderId="0" xfId="10" applyNumberFormat="1" applyFont="1" applyAlignment="1">
      <alignment horizontal="right" vertical="center"/>
    </xf>
    <xf numFmtId="38" fontId="47" fillId="0" borderId="10" xfId="10" applyNumberFormat="1" applyFont="1" applyBorder="1" applyAlignment="1">
      <alignment horizontal="right" vertical="center"/>
    </xf>
    <xf numFmtId="38" fontId="47" fillId="0" borderId="10" xfId="10" applyNumberFormat="1" applyFont="1" applyFill="1" applyBorder="1" applyAlignment="1">
      <alignment horizontal="right" vertical="center"/>
    </xf>
    <xf numFmtId="41" fontId="15" fillId="16" borderId="10" xfId="9" applyFont="1" applyFill="1" applyBorder="1" applyAlignment="1" applyProtection="1">
      <alignment horizontal="left" vertical="center"/>
      <protection locked="0"/>
    </xf>
    <xf numFmtId="0" fontId="15" fillId="16" borderId="10" xfId="8" applyFont="1" applyFill="1" applyBorder="1"/>
    <xf numFmtId="0" fontId="32" fillId="16" borderId="9" xfId="8" applyFont="1" applyFill="1" applyBorder="1" applyAlignment="1">
      <alignment horizontal="center" vertical="center"/>
    </xf>
    <xf numFmtId="38" fontId="47" fillId="16" borderId="10" xfId="10" applyNumberFormat="1" applyFont="1" applyFill="1" applyBorder="1" applyAlignment="1">
      <alignment horizontal="right" vertical="center"/>
    </xf>
    <xf numFmtId="0" fontId="45" fillId="16" borderId="0" xfId="8" applyFont="1" applyFill="1" applyAlignment="1">
      <alignment vertical="center"/>
    </xf>
    <xf numFmtId="38" fontId="47" fillId="0" borderId="0" xfId="10" applyNumberFormat="1" applyFont="1" applyFill="1" applyAlignment="1">
      <alignment horizontal="right" vertical="center"/>
    </xf>
    <xf numFmtId="38" fontId="45" fillId="16" borderId="10" xfId="10" applyNumberFormat="1" applyFont="1" applyFill="1" applyBorder="1" applyAlignment="1">
      <alignment horizontal="right" vertical="center"/>
    </xf>
    <xf numFmtId="41" fontId="48" fillId="16" borderId="10" xfId="9" applyFont="1" applyFill="1" applyBorder="1" applyAlignment="1" applyProtection="1">
      <alignment horizontal="left" vertical="center"/>
      <protection locked="0"/>
    </xf>
    <xf numFmtId="0" fontId="48" fillId="16" borderId="10" xfId="8" applyFont="1" applyFill="1" applyBorder="1"/>
    <xf numFmtId="0" fontId="49" fillId="16" borderId="9" xfId="8" applyFont="1" applyFill="1" applyBorder="1" applyAlignment="1">
      <alignment horizontal="center" vertical="center"/>
    </xf>
    <xf numFmtId="38" fontId="50" fillId="16" borderId="10" xfId="10" applyNumberFormat="1" applyFont="1" applyFill="1" applyBorder="1" applyAlignment="1">
      <alignment horizontal="right" vertical="center"/>
    </xf>
    <xf numFmtId="37" fontId="46" fillId="0" borderId="0" xfId="0" applyNumberFormat="1" applyFont="1" applyFill="1" applyBorder="1" applyAlignment="1">
      <alignment horizontal="right" vertical="center"/>
    </xf>
    <xf numFmtId="164" fontId="39" fillId="0" borderId="5" xfId="10" applyNumberFormat="1" applyFont="1" applyFill="1" applyBorder="1" applyAlignment="1">
      <alignment vertical="center"/>
    </xf>
    <xf numFmtId="164" fontId="39" fillId="0" borderId="7" xfId="10" applyNumberFormat="1" applyFont="1" applyFill="1" applyBorder="1" applyAlignment="1">
      <alignment vertical="center"/>
    </xf>
    <xf numFmtId="0" fontId="7" fillId="16" borderId="11" xfId="0" applyFont="1" applyFill="1" applyBorder="1" applyAlignment="1">
      <alignment horizontal="center" vertical="center"/>
    </xf>
    <xf numFmtId="0" fontId="7" fillId="16" borderId="11" xfId="0" applyFont="1" applyFill="1" applyBorder="1" applyAlignment="1">
      <alignment horizontal="left" vertical="center"/>
    </xf>
    <xf numFmtId="0" fontId="7" fillId="16" borderId="0" xfId="0" applyFont="1" applyFill="1" applyBorder="1" applyAlignment="1">
      <alignment horizontal="left" vertical="center"/>
    </xf>
    <xf numFmtId="0" fontId="7" fillId="11" borderId="11" xfId="0" applyFont="1" applyFill="1" applyBorder="1" applyAlignment="1">
      <alignment horizontal="center" vertical="center"/>
    </xf>
    <xf numFmtId="0" fontId="7" fillId="11" borderId="11" xfId="0" applyFont="1" applyFill="1" applyBorder="1" applyAlignment="1">
      <alignment horizontal="left" vertical="center"/>
    </xf>
    <xf numFmtId="0" fontId="7" fillId="11" borderId="0" xfId="0" applyFont="1" applyFill="1" applyBorder="1" applyAlignment="1">
      <alignment horizontal="left" vertical="center"/>
    </xf>
    <xf numFmtId="164" fontId="51" fillId="0" borderId="5" xfId="10" applyNumberFormat="1" applyFont="1" applyBorder="1" applyAlignment="1">
      <alignment vertical="center"/>
    </xf>
    <xf numFmtId="164" fontId="48" fillId="0" borderId="5" xfId="10" applyNumberFormat="1" applyFont="1" applyFill="1" applyBorder="1" applyAlignment="1">
      <alignment vertical="center"/>
    </xf>
    <xf numFmtId="164" fontId="15" fillId="0" borderId="5" xfId="10" applyNumberFormat="1" applyFont="1" applyFill="1" applyBorder="1" applyAlignment="1">
      <alignment vertical="center"/>
    </xf>
    <xf numFmtId="41" fontId="15" fillId="16" borderId="5" xfId="9" applyFont="1" applyFill="1" applyBorder="1" applyAlignment="1" applyProtection="1">
      <alignment horizontal="left" vertical="center"/>
      <protection locked="0"/>
    </xf>
    <xf numFmtId="164" fontId="15" fillId="0" borderId="6" xfId="10" applyNumberFormat="1" applyFont="1" applyFill="1" applyBorder="1" applyAlignment="1">
      <alignment vertical="center"/>
    </xf>
    <xf numFmtId="164" fontId="15" fillId="0" borderId="7" xfId="10" applyNumberFormat="1" applyFont="1" applyFill="1" applyBorder="1" applyAlignment="1">
      <alignment vertical="center"/>
    </xf>
    <xf numFmtId="41" fontId="15" fillId="16" borderId="5" xfId="9" applyFont="1" applyFill="1" applyBorder="1" applyAlignment="1" applyProtection="1">
      <alignment horizontal="left" vertical="center" indent="2"/>
      <protection locked="0"/>
    </xf>
    <xf numFmtId="37" fontId="52" fillId="0" borderId="0" xfId="0" applyNumberFormat="1" applyFont="1" applyFill="1" applyBorder="1" applyAlignment="1">
      <alignment horizontal="right" vertical="center"/>
    </xf>
    <xf numFmtId="0" fontId="0" fillId="15" borderId="3" xfId="0" applyFont="1" applyFill="1" applyBorder="1" applyAlignment="1">
      <alignment horizontal="left" vertical="center"/>
    </xf>
    <xf numFmtId="0" fontId="52" fillId="0" borderId="0" xfId="0" applyFont="1" applyFill="1" applyBorder="1" applyAlignment="1">
      <alignment horizontal="right" vertical="center"/>
    </xf>
    <xf numFmtId="0" fontId="0" fillId="18" borderId="2" xfId="0" applyFont="1" applyFill="1" applyBorder="1" applyAlignment="1">
      <alignment horizontal="left" vertical="center" indent="2"/>
    </xf>
    <xf numFmtId="0" fontId="0" fillId="18" borderId="2" xfId="0" applyFont="1" applyFill="1" applyBorder="1" applyAlignment="1">
      <alignment horizontal="left" vertical="center"/>
    </xf>
    <xf numFmtId="0" fontId="0" fillId="18" borderId="2" xfId="0" quotePrefix="1" applyFont="1" applyFill="1" applyBorder="1" applyAlignment="1">
      <alignment horizontal="left" vertical="center"/>
    </xf>
    <xf numFmtId="0" fontId="53" fillId="0" borderId="3" xfId="0" quotePrefix="1" applyFont="1" applyBorder="1" applyAlignment="1">
      <alignment horizontal="left" vertical="center"/>
    </xf>
    <xf numFmtId="0" fontId="0" fillId="0" borderId="2" xfId="0" applyBorder="1" applyAlignment="1">
      <alignment horizontal="left" vertical="center" indent="2"/>
    </xf>
    <xf numFmtId="37" fontId="8" fillId="0" borderId="0" xfId="0" applyNumberFormat="1" applyFont="1" applyFill="1" applyBorder="1" applyAlignment="1">
      <alignment horizontal="right" vertical="center"/>
    </xf>
    <xf numFmtId="38" fontId="47" fillId="15" borderId="10" xfId="10" applyNumberFormat="1" applyFont="1" applyFill="1" applyBorder="1" applyAlignment="1">
      <alignment horizontal="right" vertical="center"/>
    </xf>
    <xf numFmtId="0" fontId="38" fillId="0" borderId="7" xfId="8" applyFont="1" applyFill="1" applyBorder="1"/>
    <xf numFmtId="0" fontId="38" fillId="0" borderId="5" xfId="8" applyFont="1" applyFill="1" applyBorder="1"/>
    <xf numFmtId="164" fontId="15" fillId="0" borderId="5" xfId="8" applyNumberFormat="1" applyFont="1" applyFill="1" applyBorder="1"/>
    <xf numFmtId="164" fontId="1" fillId="0" borderId="5" xfId="8" applyNumberFormat="1" applyFont="1" applyFill="1" applyBorder="1"/>
    <xf numFmtId="0" fontId="1" fillId="0" borderId="5" xfId="8" applyFont="1" applyFill="1" applyBorder="1"/>
    <xf numFmtId="164" fontId="17" fillId="0" borderId="5" xfId="8" applyNumberFormat="1" applyFont="1" applyFill="1" applyBorder="1"/>
    <xf numFmtId="37" fontId="54" fillId="0" borderId="0" xfId="0" applyNumberFormat="1" applyFont="1" applyFill="1" applyBorder="1" applyAlignment="1">
      <alignment horizontal="right" vertical="center"/>
    </xf>
    <xf numFmtId="0" fontId="15" fillId="15" borderId="5" xfId="8" quotePrefix="1" applyFont="1" applyFill="1" applyBorder="1" applyAlignment="1">
      <alignment horizontal="center" vertical="center"/>
    </xf>
    <xf numFmtId="41" fontId="15" fillId="15" borderId="5" xfId="9" applyFont="1" applyFill="1" applyBorder="1" applyAlignment="1" applyProtection="1">
      <alignment horizontal="left" vertical="center"/>
      <protection locked="0"/>
    </xf>
    <xf numFmtId="164" fontId="21" fillId="15" borderId="5" xfId="10" applyNumberFormat="1" applyFont="1" applyFill="1" applyBorder="1" applyAlignment="1">
      <alignment vertical="center"/>
    </xf>
    <xf numFmtId="164" fontId="51" fillId="0" borderId="5" xfId="10" applyNumberFormat="1" applyFont="1" applyFill="1" applyBorder="1" applyAlignment="1">
      <alignment vertical="center"/>
    </xf>
    <xf numFmtId="164" fontId="55" fillId="0" borderId="5" xfId="10" applyNumberFormat="1" applyFont="1" applyFill="1" applyBorder="1" applyAlignment="1">
      <alignment vertical="center"/>
    </xf>
    <xf numFmtId="41" fontId="8" fillId="0" borderId="0" xfId="18" applyFont="1" applyAlignment="1">
      <alignment vertical="center"/>
    </xf>
    <xf numFmtId="0" fontId="44" fillId="0" borderId="3" xfId="0" applyFont="1" applyBorder="1" applyAlignment="1">
      <alignment horizontal="left" vertical="center"/>
    </xf>
    <xf numFmtId="0" fontId="44" fillId="0" borderId="3" xfId="0" quotePrefix="1" applyFont="1" applyBorder="1" applyAlignment="1">
      <alignment horizontal="center" vertical="center"/>
    </xf>
    <xf numFmtId="0" fontId="44" fillId="0" borderId="2" xfId="0" applyFont="1" applyBorder="1" applyAlignment="1">
      <alignment horizontal="left" vertical="center"/>
    </xf>
    <xf numFmtId="0" fontId="44" fillId="0" borderId="2" xfId="0" quotePrefix="1" applyFont="1" applyBorder="1" applyAlignment="1">
      <alignment horizontal="center" vertical="center"/>
    </xf>
    <xf numFmtId="0" fontId="44" fillId="0" borderId="2" xfId="0" quotePrefix="1" applyFont="1" applyBorder="1" applyAlignment="1">
      <alignment horizontal="left" vertical="center"/>
    </xf>
    <xf numFmtId="0" fontId="44" fillId="0" borderId="2" xfId="0" applyFont="1" applyFill="1" applyBorder="1" applyAlignment="1">
      <alignment horizontal="left" vertical="center"/>
    </xf>
    <xf numFmtId="0" fontId="44" fillId="0" borderId="2" xfId="0" applyFont="1" applyBorder="1" applyAlignment="1">
      <alignment horizontal="center" vertical="center"/>
    </xf>
    <xf numFmtId="0" fontId="44" fillId="0" borderId="2" xfId="0" applyFont="1" applyFill="1" applyBorder="1">
      <alignment vertical="center"/>
    </xf>
    <xf numFmtId="0" fontId="0" fillId="15" borderId="2" xfId="0" applyFont="1" applyFill="1" applyBorder="1" applyAlignment="1">
      <alignment horizontal="left" vertical="center"/>
    </xf>
    <xf numFmtId="0" fontId="0" fillId="15" borderId="2" xfId="0" quotePrefix="1" applyFont="1" applyFill="1" applyBorder="1" applyAlignment="1">
      <alignment horizontal="left" vertical="center"/>
    </xf>
    <xf numFmtId="0" fontId="10" fillId="3" borderId="0" xfId="5" applyFill="1" applyAlignment="1">
      <alignment horizontal="center" vertical="center"/>
    </xf>
    <xf numFmtId="37" fontId="45" fillId="0" borderId="11" xfId="0" applyNumberFormat="1" applyFont="1" applyFill="1" applyBorder="1" applyAlignment="1">
      <alignment horizontal="right" vertical="center"/>
    </xf>
    <xf numFmtId="37" fontId="54" fillId="13" borderId="11" xfId="0" applyNumberFormat="1" applyFont="1" applyFill="1" applyBorder="1" applyAlignment="1">
      <alignment horizontal="right" vertical="center"/>
    </xf>
    <xf numFmtId="37" fontId="45" fillId="13" borderId="11" xfId="0" applyNumberFormat="1" applyFont="1" applyFill="1" applyBorder="1" applyAlignment="1">
      <alignment horizontal="right" vertical="center"/>
    </xf>
    <xf numFmtId="37" fontId="46" fillId="0" borderId="11" xfId="0" applyNumberFormat="1" applyFont="1" applyFill="1" applyBorder="1" applyAlignment="1">
      <alignment horizontal="right" vertical="center"/>
    </xf>
    <xf numFmtId="37" fontId="45" fillId="17" borderId="11" xfId="0" applyNumberFormat="1" applyFont="1" applyFill="1" applyBorder="1" applyAlignment="1">
      <alignment horizontal="right" vertical="center"/>
    </xf>
    <xf numFmtId="37" fontId="45" fillId="16" borderId="11" xfId="0" applyNumberFormat="1" applyFont="1" applyFill="1" applyBorder="1" applyAlignment="1">
      <alignment horizontal="right" vertical="center"/>
    </xf>
    <xf numFmtId="37" fontId="45" fillId="2" borderId="11" xfId="0" applyNumberFormat="1" applyFont="1" applyFill="1" applyBorder="1" applyAlignment="1">
      <alignment horizontal="right" vertical="center"/>
    </xf>
    <xf numFmtId="37" fontId="45" fillId="11" borderId="11" xfId="0" applyNumberFormat="1" applyFont="1" applyFill="1" applyBorder="1" applyAlignment="1">
      <alignment horizontal="right" vertical="center"/>
    </xf>
    <xf numFmtId="37" fontId="45" fillId="0" borderId="12" xfId="0" applyNumberFormat="1" applyFont="1" applyFill="1" applyBorder="1" applyAlignment="1">
      <alignment horizontal="right" vertical="center"/>
    </xf>
    <xf numFmtId="0" fontId="43" fillId="0" borderId="0" xfId="0" applyFont="1" applyBorder="1" applyAlignment="1">
      <alignment horizontal="center" vertical="center"/>
    </xf>
    <xf numFmtId="37" fontId="45" fillId="2" borderId="0" xfId="0" applyNumberFormat="1" applyFont="1" applyFill="1" applyBorder="1" applyAlignment="1">
      <alignment horizontal="right" vertical="center"/>
    </xf>
    <xf numFmtId="0" fontId="44" fillId="0" borderId="0" xfId="0" applyFont="1" applyAlignment="1">
      <alignment horizontal="center" vertical="center"/>
    </xf>
    <xf numFmtId="0" fontId="7" fillId="0" borderId="0" xfId="0" applyFont="1" applyAlignment="1">
      <alignment horizontal="left" vertical="center" wrapText="1"/>
    </xf>
    <xf numFmtId="0" fontId="44" fillId="11" borderId="0" xfId="0" applyFont="1" applyFill="1" applyAlignment="1">
      <alignment horizontal="center" vertical="center"/>
    </xf>
    <xf numFmtId="0" fontId="44" fillId="10" borderId="0" xfId="0" applyFont="1" applyFill="1" applyAlignment="1">
      <alignment horizontal="center" vertical="center" wrapText="1"/>
    </xf>
    <xf numFmtId="0" fontId="13" fillId="2" borderId="0" xfId="8" applyFont="1" applyFill="1" applyAlignment="1">
      <alignment horizontal="center"/>
    </xf>
    <xf numFmtId="0" fontId="17" fillId="0" borderId="0" xfId="8" applyFont="1" applyAlignment="1">
      <alignment horizontal="center" vertical="center"/>
    </xf>
    <xf numFmtId="37" fontId="8" fillId="0" borderId="3" xfId="0" applyNumberFormat="1" applyFont="1" applyFill="1" applyBorder="1" applyAlignment="1">
      <alignment horizontal="right" vertical="center"/>
    </xf>
    <xf numFmtId="37" fontId="8" fillId="0" borderId="0" xfId="0" applyNumberFormat="1" applyFont="1" applyFill="1" applyBorder="1" applyAlignment="1">
      <alignment horizontal="right" vertical="center"/>
    </xf>
    <xf numFmtId="37" fontId="8" fillId="0" borderId="2" xfId="0" applyNumberFormat="1" applyFont="1" applyFill="1" applyBorder="1" applyAlignment="1">
      <alignment horizontal="right" vertical="center"/>
    </xf>
    <xf numFmtId="0" fontId="0" fillId="0" borderId="0" xfId="0" applyFont="1" applyAlignment="1">
      <alignment horizontal="center" vertical="center"/>
    </xf>
    <xf numFmtId="0" fontId="0" fillId="0" borderId="0" xfId="0" applyFont="1" applyAlignment="1">
      <alignment horizontal="left" vertical="center"/>
    </xf>
    <xf numFmtId="0" fontId="0" fillId="11" borderId="0" xfId="0" applyFont="1" applyFill="1" applyAlignment="1">
      <alignment horizontal="center" vertical="center"/>
    </xf>
    <xf numFmtId="0" fontId="0" fillId="0" borderId="0" xfId="0" applyFont="1" applyFill="1" applyBorder="1" applyAlignment="1">
      <alignment horizontal="center" vertical="center"/>
    </xf>
    <xf numFmtId="0" fontId="0" fillId="0" borderId="0" xfId="0" applyAlignment="1">
      <alignment horizontal="left" vertical="center" wrapText="1"/>
    </xf>
    <xf numFmtId="0" fontId="0" fillId="8" borderId="0" xfId="0" applyFont="1" applyFill="1" applyAlignment="1">
      <alignment horizontal="center" vertical="center"/>
    </xf>
    <xf numFmtId="42" fontId="0" fillId="9" borderId="0" xfId="0" applyNumberFormat="1" applyFont="1" applyFill="1" applyBorder="1" applyAlignment="1">
      <alignment horizontal="right" vertical="center"/>
    </xf>
    <xf numFmtId="37" fontId="8" fillId="15" borderId="2" xfId="0" applyNumberFormat="1" applyFont="1" applyFill="1" applyBorder="1" applyAlignment="1">
      <alignment horizontal="right" vertical="center"/>
    </xf>
    <xf numFmtId="0" fontId="8" fillId="0" borderId="2" xfId="0" applyFont="1" applyFill="1" applyBorder="1" applyAlignment="1">
      <alignment horizontal="right" vertical="center"/>
    </xf>
    <xf numFmtId="0" fontId="0" fillId="2" borderId="0" xfId="0" applyFont="1" applyFill="1" applyAlignment="1">
      <alignment horizontal="center" vertical="center"/>
    </xf>
    <xf numFmtId="37" fontId="44" fillId="0" borderId="3" xfId="0" applyNumberFormat="1" applyFont="1" applyFill="1" applyBorder="1" applyAlignment="1">
      <alignment horizontal="right" vertical="center"/>
    </xf>
    <xf numFmtId="37" fontId="8" fillId="2" borderId="3" xfId="0" applyNumberFormat="1" applyFont="1" applyFill="1" applyBorder="1" applyAlignment="1">
      <alignment horizontal="right" vertical="center"/>
    </xf>
    <xf numFmtId="37" fontId="44" fillId="0" borderId="2" xfId="0" applyNumberFormat="1" applyFont="1" applyFill="1" applyBorder="1" applyAlignment="1">
      <alignment horizontal="right" vertical="center"/>
    </xf>
    <xf numFmtId="37" fontId="8" fillId="2" borderId="2" xfId="0" applyNumberFormat="1" applyFont="1" applyFill="1" applyBorder="1" applyAlignment="1">
      <alignment horizontal="right" vertical="center"/>
    </xf>
    <xf numFmtId="0" fontId="44" fillId="0" borderId="2" xfId="0" applyFont="1" applyFill="1" applyBorder="1" applyAlignment="1">
      <alignment horizontal="right" vertical="center"/>
    </xf>
    <xf numFmtId="0" fontId="8" fillId="2" borderId="2" xfId="0" applyFont="1" applyFill="1" applyBorder="1" applyAlignment="1">
      <alignment horizontal="center" vertical="center"/>
    </xf>
    <xf numFmtId="37" fontId="8" fillId="15" borderId="3" xfId="0" applyNumberFormat="1" applyFont="1" applyFill="1" applyBorder="1" applyAlignment="1">
      <alignment horizontal="right" vertical="center"/>
    </xf>
    <xf numFmtId="37" fontId="54" fillId="15" borderId="11" xfId="0" applyNumberFormat="1" applyFont="1" applyFill="1" applyBorder="1" applyAlignment="1">
      <alignment horizontal="right" vertical="center"/>
    </xf>
    <xf numFmtId="0" fontId="0" fillId="0" borderId="0" xfId="0" applyAlignment="1">
      <alignment horizontal="center" vertical="center"/>
    </xf>
    <xf numFmtId="0" fontId="57" fillId="0" borderId="0" xfId="0" applyFont="1">
      <alignment vertical="center"/>
    </xf>
    <xf numFmtId="0" fontId="57" fillId="0" borderId="0" xfId="0" applyFont="1" applyAlignment="1">
      <alignment horizontal="center" vertical="top" wrapText="1"/>
    </xf>
    <xf numFmtId="0" fontId="58" fillId="0" borderId="13" xfId="0" applyFont="1" applyBorder="1" applyAlignment="1">
      <alignment horizontal="left" vertical="top" wrapText="1"/>
    </xf>
    <xf numFmtId="0" fontId="58" fillId="0" borderId="14" xfId="0" applyFont="1" applyBorder="1" applyAlignment="1">
      <alignment horizontal="left" vertical="top" wrapText="1"/>
    </xf>
    <xf numFmtId="0" fontId="58" fillId="0" borderId="15" xfId="0" applyFont="1" applyBorder="1" applyAlignment="1">
      <alignment horizontal="left" vertical="top" wrapText="1"/>
    </xf>
    <xf numFmtId="0" fontId="58" fillId="0" borderId="16" xfId="0" applyFont="1" applyBorder="1" applyAlignment="1">
      <alignment horizontal="left" vertical="top" wrapText="1"/>
    </xf>
    <xf numFmtId="0" fontId="58" fillId="0" borderId="0" xfId="0" applyFont="1" applyBorder="1" applyAlignment="1">
      <alignment horizontal="left" vertical="top" wrapText="1"/>
    </xf>
    <xf numFmtId="0" fontId="58" fillId="0" borderId="17" xfId="0" applyFont="1" applyBorder="1" applyAlignment="1">
      <alignment horizontal="left" vertical="top" wrapText="1"/>
    </xf>
    <xf numFmtId="0" fontId="58" fillId="0" borderId="18" xfId="0" applyFont="1" applyBorder="1" applyAlignment="1">
      <alignment horizontal="left" vertical="top" wrapText="1"/>
    </xf>
    <xf numFmtId="0" fontId="58" fillId="0" borderId="19" xfId="0" applyFont="1" applyBorder="1" applyAlignment="1">
      <alignment horizontal="left" vertical="top" wrapText="1"/>
    </xf>
    <xf numFmtId="0" fontId="58" fillId="0" borderId="20" xfId="0" applyFont="1" applyBorder="1" applyAlignment="1">
      <alignment horizontal="left" vertical="top" wrapText="1"/>
    </xf>
  </cellXfs>
  <cellStyles count="19">
    <cellStyle name="Comma [0]" xfId="18" builtinId="6"/>
    <cellStyle name="Comma [0] 2" xfId="9"/>
    <cellStyle name="Comma [0] 2 2" xfId="11"/>
    <cellStyle name="Comma [0] 3" xfId="12"/>
    <cellStyle name="Comma 2" xfId="6"/>
    <cellStyle name="Comma 3" xfId="10"/>
    <cellStyle name="Heading 1" xfId="1" builtinId="16" customBuiltin="1"/>
    <cellStyle name="Heading 2" xfId="2" builtinId="17" customBuiltin="1"/>
    <cellStyle name="Heading 3" xfId="3" builtinId="18" customBuiltin="1"/>
    <cellStyle name="Heading 4" xfId="4" builtinId="19" customBuiltin="1"/>
    <cellStyle name="Hyperlink 2" xfId="13"/>
    <cellStyle name="Normal" xfId="0" builtinId="0" customBuiltin="1"/>
    <cellStyle name="Normal 2" xfId="5"/>
    <cellStyle name="Normal 2 2" xfId="14"/>
    <cellStyle name="Normal 3" xfId="8"/>
    <cellStyle name="Normal 4" xfId="15"/>
    <cellStyle name="Normal 5" xfId="16"/>
    <cellStyle name="Percent 2" xfId="7"/>
    <cellStyle name="Percent 3" xfId="17"/>
  </cellStyles>
  <dxfs count="21">
    <dxf>
      <numFmt numFmtId="3" formatCode="#,##0"/>
      <fill>
        <patternFill patternType="solid">
          <fgColor indexed="64"/>
          <bgColor theme="0" tint="-0.249977111117893"/>
        </patternFill>
      </fill>
      <border diagonalUp="0" diagonalDown="0">
        <left/>
        <right style="thin">
          <color theme="0"/>
        </right>
        <top style="thin">
          <color theme="0"/>
        </top>
        <bottom style="thin">
          <color theme="0"/>
        </bottom>
        <vertical/>
        <horizontal style="thin">
          <color theme="0"/>
        </horizontal>
      </border>
    </dxf>
    <dxf>
      <font>
        <b val="0"/>
        <i val="0"/>
        <strike val="0"/>
        <condense val="0"/>
        <extend val="0"/>
        <outline val="0"/>
        <shadow val="0"/>
        <u val="none"/>
        <vertAlign val="baseline"/>
        <sz val="11"/>
        <color theme="1"/>
        <name val="Cambria"/>
        <scheme val="none"/>
      </font>
    </dxf>
    <dxf>
      <numFmt numFmtId="3" formatCode="#,##0"/>
      <alignment horizontal="center" vertical="bottom" textRotation="0" wrapText="0" indent="0" relativeIndent="255" justifyLastLine="0" shrinkToFit="0" readingOrder="0"/>
    </dxf>
    <dxf>
      <numFmt numFmtId="3" formatCode="#,##0"/>
      <alignment horizontal="center" vertical="bottom" textRotation="0" wrapText="0" indent="0" relativeIndent="255" justifyLastLine="0" shrinkToFit="0" readingOrder="0"/>
    </dxf>
    <dxf>
      <alignment horizontal="center" vertical="bottom" textRotation="0" wrapText="0" indent="0" relativeIndent="255" justifyLastLine="0" shrinkToFit="0" readingOrder="0"/>
    </dxf>
    <dxf>
      <numFmt numFmtId="3" formatCode="#,##0"/>
    </dxf>
    <dxf>
      <alignment horizontal="center" vertical="center" textRotation="0" wrapText="0" indent="0" relativeIndent="255" justifyLastLine="0" shrinkToFit="0" readingOrder="0"/>
    </dxf>
    <dxf>
      <alignment horizontal="center" vertical="bottom" textRotation="0" wrapText="0" indent="0" relativeIndent="255" justifyLastLine="0" shrinkToFit="0" readingOrder="0"/>
    </dxf>
    <dxf>
      <alignment horizontal="left" vertical="bottom" textRotation="0" wrapText="0" indent="1" relativeIndent="255" justifyLastLine="0" shrinkToFit="0" readingOrder="0"/>
    </dxf>
    <dxf>
      <alignment horizontal="center" vertical="center" textRotation="0" wrapText="0" indent="0" relativeIndent="255" justifyLastLine="0" shrinkToFit="0" readingOrder="0"/>
    </dxf>
    <dxf>
      <numFmt numFmtId="164" formatCode="_(* #,##0_);_(* \(#,##0\);_(* &quot;-&quot;??_);_(@_)"/>
    </dxf>
    <dxf>
      <alignment horizontal="center" vertical="bottom" textRotation="0" wrapText="0" indent="0" relativeIndent="255" justifyLastLine="0" shrinkToFit="0" readingOrder="0"/>
    </dxf>
    <dxf>
      <font>
        <strike val="0"/>
        <outline val="0"/>
        <shadow val="0"/>
        <u val="none"/>
        <vertAlign val="baseline"/>
        <sz val="11"/>
        <color theme="0"/>
        <name val="Cambria"/>
        <scheme val="none"/>
      </font>
      <fill>
        <patternFill patternType="solid">
          <fgColor indexed="64"/>
          <bgColor theme="6" tint="-0.249977111117893"/>
        </patternFill>
      </fill>
      <alignment horizontal="center" vertical="bottom" textRotation="0" wrapText="0" indent="0" relativeIndent="255" justifyLastLine="0" shrinkToFit="0" readingOrder="0"/>
    </dxf>
    <dxf>
      <numFmt numFmtId="164" formatCode="_(* #,##0_);_(* \(#,##0\);_(* &quot;-&quot;??_);_(@_)"/>
    </dxf>
    <dxf>
      <alignment horizontal="center" vertical="bottom" textRotation="0" wrapText="0" indent="0" relativeIndent="255" justifyLastLine="0" shrinkToFit="0" readingOrder="0"/>
    </dxf>
    <dxf>
      <font>
        <strike val="0"/>
        <outline val="0"/>
        <shadow val="0"/>
        <u val="none"/>
        <vertAlign val="baseline"/>
        <sz val="11"/>
        <color theme="0"/>
        <name val="Cambria"/>
        <scheme val="none"/>
      </font>
      <fill>
        <patternFill patternType="solid">
          <fgColor indexed="64"/>
          <bgColor theme="9" tint="-0.249977111117893"/>
        </patternFill>
      </fill>
      <alignment horizontal="center" vertical="bottom" textRotation="0" wrapText="0" indent="0" relativeIndent="255" justifyLastLine="0" shrinkToFit="0" readingOrder="0"/>
    </dxf>
    <dxf>
      <numFmt numFmtId="164" formatCode="_(* #,##0_);_(* \(#,##0\);_(* &quot;-&quot;??_);_(@_)"/>
    </dxf>
    <dxf>
      <alignment horizontal="center" vertical="bottom" textRotation="0" wrapText="0" indent="0" relativeIndent="255" justifyLastLine="0" shrinkToFit="0" readingOrder="0"/>
    </dxf>
    <dxf>
      <alignment horizontal="center" vertical="bottom" textRotation="0" wrapText="0" indent="0" relativeIndent="255" justifyLastLine="0" shrinkToFit="0" readingOrder="0"/>
    </dxf>
    <dxf>
      <font>
        <b val="0"/>
        <i val="0"/>
        <color theme="1"/>
      </font>
      <border diagonalUp="0" diagonalDown="0">
        <left/>
        <right/>
        <top style="dotted">
          <color theme="1"/>
        </top>
        <bottom/>
        <vertical/>
        <horizontal/>
      </border>
    </dxf>
    <dxf>
      <font>
        <b val="0"/>
        <i val="0"/>
        <color theme="1"/>
      </font>
      <border diagonalUp="0" diagonalDown="0">
        <left/>
        <right/>
        <top/>
        <bottom/>
        <vertical/>
        <horizontal/>
      </border>
    </dxf>
  </dxfs>
  <tableStyles count="1" defaultTableStyle="Balance sheet table" defaultPivotStyle="PivotStyleLight1">
    <tableStyle name="Balance sheet table" pivot="0" count="2">
      <tableStyleElement type="wholeTable" dxfId="20"/>
      <tableStyleElement type="totalRow" dxfId="1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D3DAE5"/>
      <rgbColor rgb="00FFFF00"/>
      <rgbColor rgb="00EAEAEA"/>
      <rgbColor rgb="0000FFFF"/>
      <rgbColor rgb="00800000"/>
      <rgbColor rgb="00ECEFF4"/>
      <rgbColor rgb="00000080"/>
      <rgbColor rgb="00808000"/>
      <rgbColor rgb="00800080"/>
      <rgbColor rgb="00BBC6D7"/>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id="1" name="Table1" displayName="Table1" ref="G7:H15" totalsRowShown="0" headerRowDxfId="18">
  <autoFilter ref="G7:H15"/>
  <tableColumns count="2">
    <tableColumn id="1" name="Status" dataDxfId="17"/>
    <tableColumn id="2" name="Jumlah Setahun (Rp)" dataDxfId="16"/>
  </tableColumns>
  <tableStyleInfo name="TableStyleMedium2" showFirstColumn="0" showLastColumn="0" showRowStripes="1" showColumnStripes="0"/>
</table>
</file>

<file path=xl/tables/table2.xml><?xml version="1.0" encoding="utf-8"?>
<table xmlns="http://schemas.openxmlformats.org/spreadsheetml/2006/main" id="2" name="Table2" displayName="Table2" ref="G17:H25" totalsRowShown="0" headerRowDxfId="15">
  <autoFilter ref="G17:H25"/>
  <tableColumns count="2">
    <tableColumn id="1" name="Status" dataDxfId="14"/>
    <tableColumn id="2" name="Jumlah Sebulan (Rp)" dataDxfId="13">
      <calculatedColumnFormula>H8/12</calculatedColumnFormula>
    </tableColumn>
  </tableColumns>
  <tableStyleInfo name="TableStyleMedium2" showFirstColumn="0" showLastColumn="0" showRowStripes="1" showColumnStripes="0"/>
</table>
</file>

<file path=xl/tables/table3.xml><?xml version="1.0" encoding="utf-8"?>
<table xmlns="http://schemas.openxmlformats.org/spreadsheetml/2006/main" id="3" name="Table3" displayName="Table3" ref="G27:H35" totalsRowShown="0" headerRowDxfId="12">
  <autoFilter ref="G27:H35"/>
  <tableColumns count="2">
    <tableColumn id="1" name="Status" dataDxfId="11"/>
    <tableColumn id="2" name="Jumlah Sehari (Rp)" dataDxfId="10">
      <calculatedColumnFormula>H8/360</calculatedColumnFormula>
    </tableColumn>
  </tableColumns>
  <tableStyleInfo name="TableStyleMedium2" showFirstColumn="0" showLastColumn="0" showRowStripes="1" showColumnStripes="0"/>
</table>
</file>

<file path=xl/tables/table4.xml><?xml version="1.0" encoding="utf-8"?>
<table xmlns="http://schemas.openxmlformats.org/spreadsheetml/2006/main" id="4" name="Table4" displayName="Table4" ref="D3:E15" totalsRowShown="0" headerRowDxfId="9">
  <autoFilter ref="D3:E15"/>
  <tableColumns count="2">
    <tableColumn id="1" name="Mulai Bekerja" dataDxfId="8"/>
    <tableColumn id="2" name="Jumlah Bulan Tersisa" dataDxfId="7"/>
  </tableColumns>
  <tableStyleInfo name="TableStyleMedium5" showFirstColumn="0" showLastColumn="0" showRowStripes="1" showColumnStripes="0"/>
</table>
</file>

<file path=xl/tables/table5.xml><?xml version="1.0" encoding="utf-8"?>
<table xmlns="http://schemas.openxmlformats.org/spreadsheetml/2006/main" id="5" name="Table5" displayName="Table5" ref="A3:B5" totalsRowShown="0" headerRowDxfId="6">
  <autoFilter ref="A3:B5"/>
  <tableColumns count="2">
    <tableColumn id="1" name="Keterangan"/>
    <tableColumn id="2" name="Jumlah (Rp)" dataDxfId="5">
      <calculatedColumnFormula>B3*12</calculatedColumnFormula>
    </tableColumn>
  </tableColumns>
  <tableStyleInfo name="TableStyleMedium6" showFirstColumn="0" showLastColumn="0" showRowStripes="1" showColumnStripes="0"/>
</table>
</file>

<file path=xl/tables/table6.xml><?xml version="1.0" encoding="utf-8"?>
<table xmlns="http://schemas.openxmlformats.org/spreadsheetml/2006/main" id="6" name="Table6" displayName="Table6" ref="J3:N7" totalsRowShown="0">
  <autoFilter ref="J3:N7"/>
  <tableColumns count="5">
    <tableColumn id="1" name="Lapisan" dataDxfId="4"/>
    <tableColumn id="2" name="Jumlah Ph. Kena Pajak" dataDxfId="3"/>
    <tableColumn id="3" name="Sampai Dengan" dataDxfId="2"/>
    <tableColumn id="4" name="Tarif" dataDxfId="1"/>
    <tableColumn id="5" name="Jumlah PPh Sampai dengan Lapisan Sebelumnya" dataDxfId="0"/>
  </tableColumns>
  <tableStyleInfo name="TableStyleLight21" showFirstColumn="0" showLastColumn="0" showRowStripes="1" showColumnStripes="0"/>
</table>
</file>

<file path=xl/theme/theme1.xml><?xml version="1.0" encoding="utf-8"?>
<a:theme xmlns:a="http://schemas.openxmlformats.org/drawingml/2006/main" name="Office Theme">
  <a:themeElements>
    <a:clrScheme name="Metro">
      <a:dk1>
        <a:sysClr val="windowText" lastClr="000000"/>
      </a:dk1>
      <a:lt1>
        <a:sysClr val="window" lastClr="FFFFFF"/>
      </a:lt1>
      <a:dk2>
        <a:srgbClr val="4E5B6F"/>
      </a:dk2>
      <a:lt2>
        <a:srgbClr val="D6ECFF"/>
      </a:lt2>
      <a:accent1>
        <a:srgbClr val="7FD13B"/>
      </a:accent1>
      <a:accent2>
        <a:srgbClr val="EA157A"/>
      </a:accent2>
      <a:accent3>
        <a:srgbClr val="FEB80A"/>
      </a:accent3>
      <a:accent4>
        <a:srgbClr val="00ADDC"/>
      </a:accent4>
      <a:accent5>
        <a:srgbClr val="738AC8"/>
      </a:accent5>
      <a:accent6>
        <a:srgbClr val="1AB39F"/>
      </a:accent6>
      <a:hlink>
        <a:srgbClr val="EB8803"/>
      </a:hlink>
      <a:folHlink>
        <a:srgbClr val="5F7791"/>
      </a:folHlink>
    </a:clrScheme>
    <a:fontScheme name="Balance sheet">
      <a:majorFont>
        <a:latin typeface="Franklin Gothic Medium"/>
        <a:ea typeface=""/>
        <a:cs typeface=""/>
      </a:majorFont>
      <a:minorFont>
        <a:latin typeface="Franklin Gothic Medium"/>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2.xml"/><Relationship Id="rId7" Type="http://schemas.openxmlformats.org/officeDocument/2006/relationships/table" Target="../tables/table6.xml"/><Relationship Id="rId2" Type="http://schemas.openxmlformats.org/officeDocument/2006/relationships/table" Target="../tables/table1.xml"/><Relationship Id="rId1" Type="http://schemas.openxmlformats.org/officeDocument/2006/relationships/printerSettings" Target="../printerSettings/printerSettings1.bin"/><Relationship Id="rId6" Type="http://schemas.openxmlformats.org/officeDocument/2006/relationships/table" Target="../tables/table5.xml"/><Relationship Id="rId5" Type="http://schemas.openxmlformats.org/officeDocument/2006/relationships/table" Target="../tables/table4.xml"/><Relationship Id="rId4" Type="http://schemas.openxmlformats.org/officeDocument/2006/relationships/table" Target="../tables/table3.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sheetPr>
    <tabColor rgb="FF00B050"/>
  </sheetPr>
  <dimension ref="A2:N38"/>
  <sheetViews>
    <sheetView showGridLines="0" topLeftCell="A10" workbookViewId="0">
      <selection activeCell="J27" sqref="J27"/>
    </sheetView>
  </sheetViews>
  <sheetFormatPr defaultRowHeight="14.25"/>
  <cols>
    <col min="1" max="1" width="21.875" style="16" customWidth="1"/>
    <col min="2" max="2" width="14.25" style="16" customWidth="1"/>
    <col min="3" max="3" width="9" style="16"/>
    <col min="4" max="4" width="17" style="16" customWidth="1"/>
    <col min="5" max="5" width="24" style="16" customWidth="1"/>
    <col min="6" max="6" width="9" style="16"/>
    <col min="7" max="7" width="23.375" style="16" customWidth="1"/>
    <col min="8" max="8" width="21.375" style="16" customWidth="1"/>
    <col min="9" max="9" width="9" style="16" customWidth="1"/>
    <col min="10" max="10" width="11.125" style="16" customWidth="1"/>
    <col min="11" max="11" width="16.75" style="16" customWidth="1"/>
    <col min="12" max="12" width="18" style="16" customWidth="1"/>
    <col min="13" max="13" width="9" style="16"/>
    <col min="14" max="14" width="27.125" style="16" customWidth="1"/>
    <col min="15" max="16384" width="9" style="16"/>
  </cols>
  <sheetData>
    <row r="2" spans="1:14">
      <c r="A2" s="16" t="s">
        <v>86</v>
      </c>
      <c r="D2" s="16" t="s">
        <v>87</v>
      </c>
      <c r="G2" s="16" t="s">
        <v>88</v>
      </c>
      <c r="J2" s="16" t="s">
        <v>89</v>
      </c>
    </row>
    <row r="3" spans="1:14" ht="28.5" customHeight="1">
      <c r="A3" s="17" t="s">
        <v>90</v>
      </c>
      <c r="B3" s="17" t="s">
        <v>91</v>
      </c>
      <c r="C3" s="18"/>
      <c r="D3" s="17" t="s">
        <v>92</v>
      </c>
      <c r="E3" s="17" t="s">
        <v>93</v>
      </c>
      <c r="F3" s="18"/>
      <c r="G3" s="266" t="s">
        <v>94</v>
      </c>
      <c r="H3" s="266"/>
      <c r="J3" s="106" t="s">
        <v>95</v>
      </c>
      <c r="K3" s="107" t="s">
        <v>96</v>
      </c>
      <c r="L3" s="106" t="s">
        <v>97</v>
      </c>
      <c r="M3" s="106" t="s">
        <v>98</v>
      </c>
      <c r="N3" s="19" t="s">
        <v>99</v>
      </c>
    </row>
    <row r="4" spans="1:14" ht="15">
      <c r="A4" s="16" t="s">
        <v>100</v>
      </c>
      <c r="B4" s="20">
        <v>500000</v>
      </c>
      <c r="D4" s="21" t="s">
        <v>101</v>
      </c>
      <c r="E4" s="22">
        <v>12</v>
      </c>
      <c r="G4" s="16" t="s">
        <v>102</v>
      </c>
      <c r="H4" s="23">
        <v>54000000</v>
      </c>
      <c r="J4" s="22" t="s">
        <v>103</v>
      </c>
      <c r="K4" s="24">
        <v>0</v>
      </c>
      <c r="L4" s="24">
        <v>50000000</v>
      </c>
      <c r="M4" s="25">
        <v>0.05</v>
      </c>
      <c r="N4" s="26">
        <v>0</v>
      </c>
    </row>
    <row r="5" spans="1:14" ht="15">
      <c r="A5" s="16" t="s">
        <v>104</v>
      </c>
      <c r="B5" s="20">
        <f>B4*12</f>
        <v>6000000</v>
      </c>
      <c r="D5" s="21" t="s">
        <v>105</v>
      </c>
      <c r="E5" s="22">
        <v>11</v>
      </c>
      <c r="G5" s="16" t="s">
        <v>106</v>
      </c>
      <c r="H5" s="23">
        <v>4500000</v>
      </c>
      <c r="J5" s="22" t="s">
        <v>107</v>
      </c>
      <c r="K5" s="24" t="s">
        <v>108</v>
      </c>
      <c r="L5" s="24">
        <v>250000000</v>
      </c>
      <c r="M5" s="25">
        <v>0.15</v>
      </c>
      <c r="N5" s="26">
        <f>L4*M4</f>
        <v>2500000</v>
      </c>
    </row>
    <row r="6" spans="1:14" ht="15">
      <c r="D6" s="21" t="s">
        <v>109</v>
      </c>
      <c r="E6" s="22">
        <v>10</v>
      </c>
      <c r="J6" s="22" t="s">
        <v>110</v>
      </c>
      <c r="K6" s="24" t="s">
        <v>111</v>
      </c>
      <c r="L6" s="24">
        <v>500000000</v>
      </c>
      <c r="M6" s="25">
        <v>0.25</v>
      </c>
      <c r="N6" s="26">
        <f>(L5-L4)*M5+N5</f>
        <v>32500000</v>
      </c>
    </row>
    <row r="7" spans="1:14" ht="15">
      <c r="D7" s="21" t="s">
        <v>112</v>
      </c>
      <c r="E7" s="22">
        <v>9</v>
      </c>
      <c r="G7" s="22" t="s">
        <v>113</v>
      </c>
      <c r="H7" s="22" t="s">
        <v>114</v>
      </c>
      <c r="J7" s="22" t="s">
        <v>115</v>
      </c>
      <c r="K7" s="24" t="s">
        <v>116</v>
      </c>
      <c r="L7" s="24"/>
      <c r="M7" s="25">
        <v>0.3</v>
      </c>
      <c r="N7" s="26">
        <f>(L6-L5)*M6+N6</f>
        <v>95000000</v>
      </c>
    </row>
    <row r="8" spans="1:14">
      <c r="D8" s="21" t="s">
        <v>117</v>
      </c>
      <c r="E8" s="22">
        <v>8</v>
      </c>
      <c r="G8" s="22" t="s">
        <v>118</v>
      </c>
      <c r="H8" s="27">
        <v>54000000</v>
      </c>
    </row>
    <row r="9" spans="1:14">
      <c r="A9" s="28" t="s">
        <v>135</v>
      </c>
      <c r="D9" s="21" t="s">
        <v>119</v>
      </c>
      <c r="E9" s="22">
        <v>7</v>
      </c>
      <c r="G9" s="22" t="s">
        <v>120</v>
      </c>
      <c r="H9" s="27">
        <f>H8+H5</f>
        <v>58500000</v>
      </c>
    </row>
    <row r="10" spans="1:14">
      <c r="D10" s="21" t="s">
        <v>121</v>
      </c>
      <c r="E10" s="22">
        <v>6</v>
      </c>
      <c r="G10" s="22" t="s">
        <v>122</v>
      </c>
      <c r="H10" s="27">
        <f>H9+H5</f>
        <v>63000000</v>
      </c>
    </row>
    <row r="11" spans="1:14">
      <c r="D11" s="21" t="s">
        <v>123</v>
      </c>
      <c r="E11" s="22">
        <v>5</v>
      </c>
      <c r="G11" s="22" t="s">
        <v>124</v>
      </c>
      <c r="H11" s="27">
        <f>H10+H5</f>
        <v>67500000</v>
      </c>
      <c r="J11" s="28" t="s">
        <v>137</v>
      </c>
    </row>
    <row r="12" spans="1:14">
      <c r="D12" s="21" t="s">
        <v>125</v>
      </c>
      <c r="E12" s="22">
        <v>4</v>
      </c>
      <c r="G12" s="22" t="s">
        <v>126</v>
      </c>
      <c r="H12" s="27">
        <f>H4+H5</f>
        <v>58500000</v>
      </c>
    </row>
    <row r="13" spans="1:14">
      <c r="D13" s="21" t="s">
        <v>127</v>
      </c>
      <c r="E13" s="22">
        <v>3</v>
      </c>
      <c r="G13" s="22" t="s">
        <v>128</v>
      </c>
      <c r="H13" s="27">
        <f>H12+$H$5</f>
        <v>63000000</v>
      </c>
    </row>
    <row r="14" spans="1:14">
      <c r="D14" s="21" t="s">
        <v>129</v>
      </c>
      <c r="E14" s="22">
        <v>2</v>
      </c>
      <c r="G14" s="22" t="s">
        <v>130</v>
      </c>
      <c r="H14" s="27">
        <f>H13+$H$5</f>
        <v>67500000</v>
      </c>
    </row>
    <row r="15" spans="1:14">
      <c r="D15" s="21" t="s">
        <v>131</v>
      </c>
      <c r="E15" s="22">
        <v>1</v>
      </c>
      <c r="G15" s="22" t="s">
        <v>132</v>
      </c>
      <c r="H15" s="27">
        <f>H14+$H$5</f>
        <v>72000000</v>
      </c>
    </row>
    <row r="17" spans="7:8">
      <c r="G17" s="104" t="s">
        <v>113</v>
      </c>
      <c r="H17" s="104" t="s">
        <v>133</v>
      </c>
    </row>
    <row r="18" spans="7:8">
      <c r="G18" s="22" t="s">
        <v>118</v>
      </c>
      <c r="H18" s="27">
        <f>H8/12</f>
        <v>4500000</v>
      </c>
    </row>
    <row r="19" spans="7:8">
      <c r="G19" s="22" t="s">
        <v>120</v>
      </c>
      <c r="H19" s="27">
        <f>H9/12</f>
        <v>4875000</v>
      </c>
    </row>
    <row r="20" spans="7:8">
      <c r="G20" s="22" t="s">
        <v>122</v>
      </c>
      <c r="H20" s="27">
        <f t="shared" ref="H20:H25" si="0">H10/12</f>
        <v>5250000</v>
      </c>
    </row>
    <row r="21" spans="7:8">
      <c r="G21" s="22" t="s">
        <v>124</v>
      </c>
      <c r="H21" s="27">
        <f t="shared" si="0"/>
        <v>5625000</v>
      </c>
    </row>
    <row r="22" spans="7:8">
      <c r="G22" s="22" t="s">
        <v>126</v>
      </c>
      <c r="H22" s="27">
        <f t="shared" si="0"/>
        <v>4875000</v>
      </c>
    </row>
    <row r="23" spans="7:8">
      <c r="G23" s="22" t="s">
        <v>128</v>
      </c>
      <c r="H23" s="27">
        <f t="shared" si="0"/>
        <v>5250000</v>
      </c>
    </row>
    <row r="24" spans="7:8">
      <c r="G24" s="22" t="s">
        <v>130</v>
      </c>
      <c r="H24" s="27">
        <f t="shared" si="0"/>
        <v>5625000</v>
      </c>
    </row>
    <row r="25" spans="7:8">
      <c r="G25" s="22" t="s">
        <v>132</v>
      </c>
      <c r="H25" s="27">
        <f t="shared" si="0"/>
        <v>6000000</v>
      </c>
    </row>
    <row r="27" spans="7:8">
      <c r="G27" s="105" t="s">
        <v>113</v>
      </c>
      <c r="H27" s="105" t="s">
        <v>134</v>
      </c>
    </row>
    <row r="28" spans="7:8">
      <c r="G28" s="22" t="s">
        <v>118</v>
      </c>
      <c r="H28" s="27">
        <f>H8/360</f>
        <v>150000</v>
      </c>
    </row>
    <row r="29" spans="7:8">
      <c r="G29" s="22" t="s">
        <v>120</v>
      </c>
      <c r="H29" s="27">
        <f>H9/360</f>
        <v>162500</v>
      </c>
    </row>
    <row r="30" spans="7:8">
      <c r="G30" s="22" t="s">
        <v>122</v>
      </c>
      <c r="H30" s="27">
        <f t="shared" ref="H30:H35" si="1">H10/360</f>
        <v>175000</v>
      </c>
    </row>
    <row r="31" spans="7:8">
      <c r="G31" s="22" t="s">
        <v>124</v>
      </c>
      <c r="H31" s="27">
        <f t="shared" si="1"/>
        <v>187500</v>
      </c>
    </row>
    <row r="32" spans="7:8">
      <c r="G32" s="22" t="s">
        <v>126</v>
      </c>
      <c r="H32" s="27">
        <f t="shared" si="1"/>
        <v>162500</v>
      </c>
    </row>
    <row r="33" spans="7:8">
      <c r="G33" s="22" t="s">
        <v>128</v>
      </c>
      <c r="H33" s="27">
        <f t="shared" si="1"/>
        <v>175000</v>
      </c>
    </row>
    <row r="34" spans="7:8">
      <c r="G34" s="22" t="s">
        <v>130</v>
      </c>
      <c r="H34" s="27">
        <f t="shared" si="1"/>
        <v>187500</v>
      </c>
    </row>
    <row r="35" spans="7:8">
      <c r="G35" s="22" t="s">
        <v>132</v>
      </c>
      <c r="H35" s="27">
        <f t="shared" si="1"/>
        <v>200000</v>
      </c>
    </row>
    <row r="38" spans="7:8">
      <c r="G38" s="28" t="s">
        <v>136</v>
      </c>
    </row>
  </sheetData>
  <mergeCells count="1">
    <mergeCell ref="G3:H3"/>
  </mergeCells>
  <pageMargins left="0.7" right="0.7" top="0.75" bottom="0.75" header="0.3" footer="0.3"/>
  <pageSetup paperSize="258" orientation="portrait" r:id="rId1"/>
  <tableParts count="6">
    <tablePart r:id="rId2"/>
    <tablePart r:id="rId3"/>
    <tablePart r:id="rId4"/>
    <tablePart r:id="rId5"/>
    <tablePart r:id="rId6"/>
    <tablePart r:id="rId7"/>
  </tableParts>
</worksheet>
</file>

<file path=xl/worksheets/sheet2.xml><?xml version="1.0" encoding="utf-8"?>
<worksheet xmlns="http://schemas.openxmlformats.org/spreadsheetml/2006/main" xmlns:r="http://schemas.openxmlformats.org/officeDocument/2006/relationships">
  <dimension ref="A1:J118"/>
  <sheetViews>
    <sheetView showGridLines="0" topLeftCell="A82" workbookViewId="0">
      <pane ySplit="3" topLeftCell="A103" activePane="bottomLeft" state="frozen"/>
      <selection activeCell="B82" sqref="B82"/>
      <selection pane="bottomLeft" activeCell="J110" sqref="J110"/>
    </sheetView>
  </sheetViews>
  <sheetFormatPr defaultRowHeight="21" customHeight="1"/>
  <cols>
    <col min="1" max="1" width="3.25" style="84" customWidth="1"/>
    <col min="2" max="2" width="4.125" style="84" customWidth="1"/>
    <col min="3" max="3" width="8" style="84" customWidth="1"/>
    <col min="4" max="4" width="9" style="84"/>
    <col min="5" max="5" width="3.875" style="84" customWidth="1"/>
    <col min="6" max="6" width="10.5" style="84" customWidth="1"/>
    <col min="7" max="7" width="3.75" style="84" customWidth="1"/>
    <col min="8" max="8" width="17.75" style="84" customWidth="1"/>
    <col min="9" max="9" width="5.125" style="84" customWidth="1"/>
    <col min="10" max="10" width="28.625" style="84" customWidth="1"/>
    <col min="11" max="11" width="5.625" style="84" customWidth="1"/>
    <col min="12" max="16384" width="9" style="84"/>
  </cols>
  <sheetData>
    <row r="1" spans="2:10" ht="21" customHeight="1">
      <c r="B1" s="85"/>
      <c r="C1" s="85"/>
      <c r="D1" s="85"/>
      <c r="E1" s="85"/>
      <c r="F1" s="85"/>
      <c r="G1" s="85"/>
      <c r="H1" s="85"/>
      <c r="I1" s="85"/>
      <c r="J1" s="85"/>
    </row>
    <row r="2" spans="2:10" ht="21" customHeight="1">
      <c r="B2" s="116" t="s">
        <v>191</v>
      </c>
      <c r="C2" s="116" t="s">
        <v>192</v>
      </c>
      <c r="D2" s="117"/>
      <c r="E2" s="117"/>
      <c r="F2" s="117"/>
      <c r="G2" s="117"/>
      <c r="H2" s="117"/>
      <c r="I2" s="117"/>
      <c r="J2" s="117"/>
    </row>
    <row r="3" spans="2:10" s="88" customFormat="1" ht="21" customHeight="1">
      <c r="B3" s="86" t="s">
        <v>5</v>
      </c>
      <c r="C3" s="87" t="s">
        <v>193</v>
      </c>
      <c r="D3" s="87"/>
      <c r="E3" s="87"/>
      <c r="F3" s="87"/>
      <c r="G3" s="87"/>
      <c r="H3" s="87"/>
      <c r="I3" s="86" t="s">
        <v>139</v>
      </c>
      <c r="J3" s="201" t="s">
        <v>221</v>
      </c>
    </row>
    <row r="4" spans="2:10" s="88" customFormat="1" ht="21" customHeight="1">
      <c r="B4" s="108" t="s">
        <v>7</v>
      </c>
      <c r="C4" s="109" t="s">
        <v>194</v>
      </c>
      <c r="D4" s="109"/>
      <c r="E4" s="109"/>
      <c r="F4" s="109"/>
      <c r="G4" s="109"/>
      <c r="H4" s="109"/>
      <c r="I4" s="108" t="s">
        <v>139</v>
      </c>
      <c r="J4" s="177" t="s">
        <v>222</v>
      </c>
    </row>
    <row r="5" spans="2:10" s="88" customFormat="1" ht="21" customHeight="1">
      <c r="B5" s="108" t="s">
        <v>9</v>
      </c>
      <c r="C5" s="109" t="s">
        <v>195</v>
      </c>
      <c r="D5" s="109"/>
      <c r="E5" s="109"/>
      <c r="F5" s="109"/>
      <c r="G5" s="109"/>
      <c r="H5" s="109"/>
      <c r="I5" s="108" t="s">
        <v>139</v>
      </c>
      <c r="J5" s="177"/>
    </row>
    <row r="6" spans="2:10" s="88" customFormat="1" ht="21" customHeight="1">
      <c r="B6" s="108" t="s">
        <v>11</v>
      </c>
      <c r="C6" s="109" t="s">
        <v>196</v>
      </c>
      <c r="D6" s="109"/>
      <c r="E6" s="109"/>
      <c r="F6" s="109"/>
      <c r="G6" s="109"/>
      <c r="H6" s="109"/>
      <c r="I6" s="108" t="s">
        <v>139</v>
      </c>
      <c r="J6" s="177" t="s">
        <v>223</v>
      </c>
    </row>
    <row r="7" spans="2:10" s="88" customFormat="1" ht="21" customHeight="1">
      <c r="B7" s="108" t="s">
        <v>13</v>
      </c>
      <c r="C7" s="109" t="s">
        <v>197</v>
      </c>
      <c r="D7" s="109"/>
      <c r="E7" s="109"/>
      <c r="F7" s="109"/>
      <c r="G7" s="109"/>
      <c r="H7" s="109"/>
      <c r="I7" s="108" t="s">
        <v>139</v>
      </c>
      <c r="J7" s="177" t="s">
        <v>224</v>
      </c>
    </row>
    <row r="8" spans="2:10" s="88" customFormat="1" ht="21" customHeight="1">
      <c r="B8" s="108" t="s">
        <v>15</v>
      </c>
      <c r="C8" s="109" t="s">
        <v>198</v>
      </c>
      <c r="D8" s="109"/>
      <c r="E8" s="109"/>
      <c r="F8" s="109"/>
      <c r="G8" s="109"/>
      <c r="H8" s="109"/>
      <c r="I8" s="108" t="s">
        <v>139</v>
      </c>
      <c r="J8" s="177" t="s">
        <v>225</v>
      </c>
    </row>
    <row r="9" spans="2:10" s="88" customFormat="1" ht="21" customHeight="1">
      <c r="B9" s="108" t="s">
        <v>16</v>
      </c>
      <c r="C9" s="109" t="s">
        <v>199</v>
      </c>
      <c r="D9" s="109"/>
      <c r="E9" s="109"/>
      <c r="F9" s="109"/>
      <c r="G9" s="109"/>
      <c r="H9" s="109"/>
      <c r="I9" s="108" t="s">
        <v>139</v>
      </c>
      <c r="J9" s="177" t="s">
        <v>132</v>
      </c>
    </row>
    <row r="10" spans="2:10" s="88" customFormat="1" ht="21" customHeight="1">
      <c r="B10" s="108" t="s">
        <v>19</v>
      </c>
      <c r="C10" s="109" t="s">
        <v>200</v>
      </c>
      <c r="D10" s="109"/>
      <c r="E10" s="109"/>
      <c r="F10" s="109"/>
      <c r="G10" s="109"/>
      <c r="H10" s="109"/>
      <c r="I10" s="108" t="s">
        <v>139</v>
      </c>
      <c r="J10" s="177" t="s">
        <v>231</v>
      </c>
    </row>
    <row r="11" spans="2:10" s="88" customFormat="1" ht="21" customHeight="1">
      <c r="B11" s="110" t="s">
        <v>21</v>
      </c>
      <c r="C11" s="111" t="s">
        <v>201</v>
      </c>
      <c r="D11" s="111"/>
      <c r="E11" s="111"/>
      <c r="F11" s="111"/>
      <c r="G11" s="111"/>
      <c r="H11" s="111"/>
      <c r="I11" s="110" t="s">
        <v>139</v>
      </c>
      <c r="J11" s="178" t="s">
        <v>226</v>
      </c>
    </row>
    <row r="12" spans="2:10" ht="21" customHeight="1">
      <c r="B12" s="34"/>
      <c r="C12" s="34"/>
      <c r="D12" s="34"/>
      <c r="E12" s="34"/>
      <c r="F12" s="34"/>
      <c r="G12" s="34"/>
      <c r="H12" s="34"/>
      <c r="I12" s="34"/>
      <c r="J12" s="34"/>
    </row>
    <row r="13" spans="2:10" ht="21" customHeight="1">
      <c r="B13" s="112" t="s">
        <v>202</v>
      </c>
      <c r="C13" s="113" t="s">
        <v>138</v>
      </c>
      <c r="D13" s="114"/>
      <c r="E13" s="115"/>
      <c r="F13" s="115"/>
      <c r="G13" s="115"/>
      <c r="H13" s="115"/>
      <c r="I13" s="115"/>
      <c r="J13" s="115"/>
    </row>
    <row r="14" spans="2:10" ht="21" customHeight="1">
      <c r="B14" s="118"/>
      <c r="C14" s="119" t="s">
        <v>203</v>
      </c>
      <c r="D14" s="118"/>
      <c r="E14" s="120" t="s">
        <v>204</v>
      </c>
      <c r="F14" s="118" t="s">
        <v>205</v>
      </c>
      <c r="G14" s="121"/>
      <c r="H14" s="118" t="s">
        <v>206</v>
      </c>
      <c r="I14" s="118"/>
      <c r="J14" s="122"/>
    </row>
    <row r="15" spans="2:10" ht="21" customHeight="1">
      <c r="B15" s="34"/>
      <c r="C15" s="89" t="s">
        <v>71</v>
      </c>
      <c r="D15" s="34"/>
      <c r="E15" s="34"/>
      <c r="F15" s="34"/>
      <c r="G15" s="34"/>
      <c r="H15" s="34"/>
      <c r="I15" s="34"/>
      <c r="J15" s="44"/>
    </row>
    <row r="16" spans="2:10" ht="21" customHeight="1">
      <c r="B16" s="90" t="s">
        <v>5</v>
      </c>
      <c r="C16" s="91" t="s">
        <v>148</v>
      </c>
      <c r="D16" s="92"/>
      <c r="E16" s="92"/>
      <c r="F16" s="92"/>
      <c r="G16" s="92"/>
      <c r="H16" s="92"/>
      <c r="I16" s="93" t="s">
        <v>149</v>
      </c>
      <c r="J16" s="179">
        <v>14000000</v>
      </c>
    </row>
    <row r="17" spans="1:10" ht="21" customHeight="1">
      <c r="B17" s="94" t="s">
        <v>7</v>
      </c>
      <c r="C17" s="95" t="s">
        <v>150</v>
      </c>
      <c r="D17" s="96"/>
      <c r="E17" s="96"/>
      <c r="F17" s="96"/>
      <c r="G17" s="96"/>
      <c r="H17" s="96"/>
      <c r="I17" s="93" t="s">
        <v>149</v>
      </c>
      <c r="J17" s="180"/>
    </row>
    <row r="18" spans="1:10" ht="21" customHeight="1">
      <c r="B18" s="94" t="s">
        <v>9</v>
      </c>
      <c r="C18" s="95" t="s">
        <v>151</v>
      </c>
      <c r="D18" s="96"/>
      <c r="E18" s="96"/>
      <c r="F18" s="96"/>
      <c r="G18" s="96"/>
      <c r="H18" s="96"/>
      <c r="I18" s="93" t="s">
        <v>149</v>
      </c>
      <c r="J18" s="179">
        <f>800000+500000+600000</f>
        <v>1900000</v>
      </c>
    </row>
    <row r="19" spans="1:10" ht="21" customHeight="1">
      <c r="B19" s="94" t="s">
        <v>11</v>
      </c>
      <c r="C19" s="95" t="s">
        <v>152</v>
      </c>
      <c r="D19" s="96"/>
      <c r="E19" s="96"/>
      <c r="F19" s="96"/>
      <c r="G19" s="96"/>
      <c r="H19" s="96"/>
      <c r="I19" s="93" t="s">
        <v>149</v>
      </c>
      <c r="J19" s="180"/>
    </row>
    <row r="20" spans="1:10" ht="21" customHeight="1">
      <c r="B20" s="94" t="s">
        <v>13</v>
      </c>
      <c r="C20" s="95" t="s">
        <v>153</v>
      </c>
      <c r="D20" s="96"/>
      <c r="E20" s="96"/>
      <c r="F20" s="96"/>
      <c r="G20" s="96"/>
      <c r="H20" s="96"/>
      <c r="I20" s="93" t="s">
        <v>149</v>
      </c>
      <c r="J20" s="179">
        <f>56000+28000</f>
        <v>84000</v>
      </c>
    </row>
    <row r="21" spans="1:10" ht="21" customHeight="1">
      <c r="B21" s="94" t="s">
        <v>15</v>
      </c>
      <c r="C21" s="95" t="s">
        <v>154</v>
      </c>
      <c r="D21" s="96"/>
      <c r="E21" s="96"/>
      <c r="F21" s="96"/>
      <c r="G21" s="96"/>
      <c r="H21" s="96"/>
      <c r="I21" s="93" t="s">
        <v>149</v>
      </c>
      <c r="J21" s="180"/>
    </row>
    <row r="22" spans="1:10" ht="21" customHeight="1">
      <c r="B22" s="94" t="s">
        <v>16</v>
      </c>
      <c r="C22" s="95" t="s">
        <v>156</v>
      </c>
      <c r="D22" s="96"/>
      <c r="E22" s="96"/>
      <c r="F22" s="96"/>
      <c r="G22" s="96"/>
      <c r="H22" s="96"/>
      <c r="I22" s="93" t="s">
        <v>149</v>
      </c>
      <c r="J22" s="180"/>
    </row>
    <row r="23" spans="1:10" ht="21" customHeight="1">
      <c r="B23" s="100" t="s">
        <v>19</v>
      </c>
      <c r="C23" s="197" t="s">
        <v>157</v>
      </c>
      <c r="D23" s="198"/>
      <c r="E23" s="198"/>
      <c r="F23" s="198"/>
      <c r="G23" s="198"/>
      <c r="H23" s="198"/>
      <c r="I23" s="199" t="s">
        <v>149</v>
      </c>
      <c r="J23" s="200">
        <f>SUM(J16:J22)</f>
        <v>15984000</v>
      </c>
    </row>
    <row r="24" spans="1:10" ht="21" customHeight="1">
      <c r="A24" s="85"/>
      <c r="B24" s="97"/>
      <c r="C24" s="98" t="s">
        <v>159</v>
      </c>
      <c r="D24" s="97"/>
      <c r="E24" s="97"/>
      <c r="F24" s="97"/>
      <c r="G24" s="97"/>
      <c r="H24" s="97"/>
      <c r="I24" s="99"/>
      <c r="J24" s="181"/>
    </row>
    <row r="25" spans="1:10" ht="21" customHeight="1">
      <c r="B25" s="100" t="s">
        <v>21</v>
      </c>
      <c r="C25" s="98" t="s">
        <v>207</v>
      </c>
      <c r="D25" s="97"/>
      <c r="E25" s="97"/>
      <c r="F25" s="97"/>
      <c r="G25" s="97"/>
      <c r="H25" s="97"/>
      <c r="I25" s="175" t="s">
        <v>149</v>
      </c>
      <c r="J25" s="181">
        <f>IF((J23*5%)&gt;500000,500000,J23*5%)</f>
        <v>500000</v>
      </c>
    </row>
    <row r="26" spans="1:10" ht="21" customHeight="1">
      <c r="B26" s="100" t="s">
        <v>24</v>
      </c>
      <c r="C26" s="98" t="s">
        <v>165</v>
      </c>
      <c r="D26" s="97"/>
      <c r="E26" s="97"/>
      <c r="F26" s="97"/>
      <c r="G26" s="97"/>
      <c r="H26" s="97"/>
      <c r="I26" s="175" t="s">
        <v>149</v>
      </c>
      <c r="J26" s="182">
        <f>500000+75000</f>
        <v>575000</v>
      </c>
    </row>
    <row r="27" spans="1:10" ht="21" customHeight="1">
      <c r="B27" s="100" t="s">
        <v>25</v>
      </c>
      <c r="C27" s="197" t="s">
        <v>166</v>
      </c>
      <c r="D27" s="198"/>
      <c r="E27" s="198"/>
      <c r="F27" s="198"/>
      <c r="G27" s="198"/>
      <c r="H27" s="198"/>
      <c r="I27" s="199" t="s">
        <v>149</v>
      </c>
      <c r="J27" s="200">
        <f>SUM(J25:J26)</f>
        <v>1075000</v>
      </c>
    </row>
    <row r="28" spans="1:10" ht="21" customHeight="1">
      <c r="B28" s="100"/>
      <c r="C28" s="98" t="s">
        <v>80</v>
      </c>
      <c r="D28" s="97"/>
      <c r="E28" s="97"/>
      <c r="F28" s="97"/>
      <c r="G28" s="97"/>
      <c r="H28" s="97"/>
      <c r="I28" s="175"/>
      <c r="J28" s="181"/>
    </row>
    <row r="29" spans="1:10" ht="21" customHeight="1">
      <c r="B29" s="100" t="s">
        <v>26</v>
      </c>
      <c r="C29" s="98" t="s">
        <v>208</v>
      </c>
      <c r="D29" s="97"/>
      <c r="E29" s="97"/>
      <c r="F29" s="97"/>
      <c r="G29" s="97"/>
      <c r="H29" s="97"/>
      <c r="I29" s="175" t="s">
        <v>149</v>
      </c>
      <c r="J29" s="181">
        <f>J23-J27</f>
        <v>14909000</v>
      </c>
    </row>
    <row r="30" spans="1:10" ht="21" customHeight="1">
      <c r="B30" s="100" t="s">
        <v>28</v>
      </c>
      <c r="C30" s="98" t="s">
        <v>171</v>
      </c>
      <c r="D30" s="97"/>
      <c r="E30" s="97"/>
      <c r="F30" s="97"/>
      <c r="G30" s="97"/>
      <c r="H30" s="97"/>
      <c r="I30" s="93" t="s">
        <v>149</v>
      </c>
      <c r="J30" s="180">
        <f>J29*12</f>
        <v>178908000</v>
      </c>
    </row>
    <row r="31" spans="1:10" ht="21" customHeight="1">
      <c r="B31" s="100" t="s">
        <v>31</v>
      </c>
      <c r="C31" s="98" t="s">
        <v>172</v>
      </c>
      <c r="D31" s="97"/>
      <c r="E31" s="97"/>
      <c r="F31" s="97"/>
      <c r="G31" s="97"/>
      <c r="H31" s="97"/>
      <c r="I31" s="93" t="s">
        <v>149</v>
      </c>
      <c r="J31" s="180">
        <f>36000000+3000000+9000000</f>
        <v>48000000</v>
      </c>
    </row>
    <row r="32" spans="1:10" ht="21" customHeight="1">
      <c r="B32" s="100" t="s">
        <v>32</v>
      </c>
      <c r="C32" s="197" t="s">
        <v>173</v>
      </c>
      <c r="D32" s="198"/>
      <c r="E32" s="198"/>
      <c r="F32" s="198"/>
      <c r="G32" s="198"/>
      <c r="H32" s="198"/>
      <c r="I32" s="199" t="s">
        <v>149</v>
      </c>
      <c r="J32" s="200">
        <f>J30-J31</f>
        <v>130908000</v>
      </c>
    </row>
    <row r="33" spans="2:10" ht="21" customHeight="1">
      <c r="B33" s="100" t="s">
        <v>33</v>
      </c>
      <c r="C33" s="98" t="s">
        <v>174</v>
      </c>
      <c r="D33" s="97"/>
      <c r="E33" s="97"/>
      <c r="F33" s="97"/>
      <c r="G33" s="97"/>
      <c r="H33" s="97"/>
      <c r="I33" s="93" t="s">
        <v>149</v>
      </c>
      <c r="J33" s="181">
        <f>IF(J32&gt;0,((J32-50000000)*15%)+2500000,0)</f>
        <v>14636200</v>
      </c>
    </row>
    <row r="34" spans="2:10" ht="21" customHeight="1">
      <c r="B34" s="100" t="s">
        <v>34</v>
      </c>
      <c r="C34" s="98" t="s">
        <v>51</v>
      </c>
      <c r="D34" s="97"/>
      <c r="E34" s="97"/>
      <c r="F34" s="97"/>
      <c r="G34" s="97"/>
      <c r="H34" s="97"/>
      <c r="I34" s="93" t="s">
        <v>149</v>
      </c>
      <c r="J34" s="180">
        <f>J33/12</f>
        <v>1219683.3333333333</v>
      </c>
    </row>
    <row r="35" spans="2:10" ht="21" customHeight="1">
      <c r="B35" s="100"/>
      <c r="C35" s="98" t="s">
        <v>209</v>
      </c>
      <c r="D35" s="97"/>
      <c r="E35" s="97"/>
      <c r="F35" s="97"/>
      <c r="G35" s="97"/>
      <c r="H35" s="97"/>
      <c r="I35" s="93"/>
      <c r="J35" s="180"/>
    </row>
    <row r="36" spans="2:10" ht="21" customHeight="1">
      <c r="B36" s="100" t="s">
        <v>35</v>
      </c>
      <c r="C36" s="98" t="s">
        <v>210</v>
      </c>
      <c r="D36" s="97"/>
      <c r="E36" s="97"/>
      <c r="F36" s="97"/>
      <c r="G36" s="97"/>
      <c r="H36" s="97"/>
      <c r="I36" s="93" t="s">
        <v>149</v>
      </c>
      <c r="J36" s="181">
        <v>0</v>
      </c>
    </row>
    <row r="37" spans="2:10" ht="21" customHeight="1">
      <c r="B37" s="100" t="s">
        <v>36</v>
      </c>
      <c r="C37" s="98" t="s">
        <v>181</v>
      </c>
      <c r="D37" s="97"/>
      <c r="E37" s="97"/>
      <c r="F37" s="97"/>
      <c r="G37" s="97"/>
      <c r="H37" s="97"/>
      <c r="I37" s="93" t="s">
        <v>149</v>
      </c>
      <c r="J37" s="181">
        <v>0</v>
      </c>
    </row>
    <row r="38" spans="2:10" ht="21" customHeight="1">
      <c r="B38" s="100" t="s">
        <v>37</v>
      </c>
      <c r="C38" s="197" t="s">
        <v>183</v>
      </c>
      <c r="D38" s="198"/>
      <c r="E38" s="198"/>
      <c r="F38" s="198"/>
      <c r="G38" s="198"/>
      <c r="H38" s="198"/>
      <c r="I38" s="199" t="s">
        <v>149</v>
      </c>
      <c r="J38" s="200">
        <f>J34+J36-J37</f>
        <v>1219683.3333333333</v>
      </c>
    </row>
    <row r="39" spans="2:10" ht="21" customHeight="1">
      <c r="J39" s="101"/>
    </row>
    <row r="40" spans="2:10" ht="21" customHeight="1">
      <c r="J40" s="101"/>
    </row>
    <row r="42" spans="2:10" ht="21" customHeight="1">
      <c r="B42" s="116" t="s">
        <v>191</v>
      </c>
      <c r="C42" s="116" t="s">
        <v>192</v>
      </c>
      <c r="D42" s="117"/>
      <c r="E42" s="117"/>
      <c r="F42" s="117"/>
      <c r="G42" s="117"/>
      <c r="H42" s="117"/>
      <c r="I42" s="117"/>
      <c r="J42" s="117"/>
    </row>
    <row r="43" spans="2:10" ht="21" customHeight="1">
      <c r="B43" s="86" t="s">
        <v>5</v>
      </c>
      <c r="C43" s="87" t="s">
        <v>193</v>
      </c>
      <c r="D43" s="87"/>
      <c r="E43" s="87"/>
      <c r="F43" s="87"/>
      <c r="G43" s="87"/>
      <c r="H43" s="87"/>
      <c r="I43" s="86" t="s">
        <v>139</v>
      </c>
      <c r="J43" s="210" t="s">
        <v>227</v>
      </c>
    </row>
    <row r="44" spans="2:10" ht="21" customHeight="1">
      <c r="B44" s="108" t="s">
        <v>7</v>
      </c>
      <c r="C44" s="109" t="s">
        <v>194</v>
      </c>
      <c r="D44" s="109"/>
      <c r="E44" s="109"/>
      <c r="F44" s="109"/>
      <c r="G44" s="109"/>
      <c r="H44" s="109"/>
      <c r="I44" s="108" t="s">
        <v>139</v>
      </c>
      <c r="J44" s="177" t="s">
        <v>228</v>
      </c>
    </row>
    <row r="45" spans="2:10" ht="21" customHeight="1">
      <c r="B45" s="108" t="s">
        <v>9</v>
      </c>
      <c r="C45" s="109" t="s">
        <v>195</v>
      </c>
      <c r="D45" s="109"/>
      <c r="E45" s="109"/>
      <c r="F45" s="109"/>
      <c r="G45" s="109"/>
      <c r="H45" s="109"/>
      <c r="I45" s="108" t="s">
        <v>139</v>
      </c>
      <c r="J45" s="177"/>
    </row>
    <row r="46" spans="2:10" ht="21" customHeight="1">
      <c r="B46" s="108" t="s">
        <v>11</v>
      </c>
      <c r="C46" s="109" t="s">
        <v>196</v>
      </c>
      <c r="D46" s="109"/>
      <c r="E46" s="109"/>
      <c r="F46" s="109"/>
      <c r="G46" s="109"/>
      <c r="H46" s="109"/>
      <c r="I46" s="108" t="s">
        <v>139</v>
      </c>
      <c r="J46" s="177" t="s">
        <v>223</v>
      </c>
    </row>
    <row r="47" spans="2:10" ht="21" customHeight="1">
      <c r="B47" s="108" t="s">
        <v>13</v>
      </c>
      <c r="C47" s="109" t="s">
        <v>197</v>
      </c>
      <c r="D47" s="109"/>
      <c r="E47" s="109"/>
      <c r="F47" s="109"/>
      <c r="G47" s="109"/>
      <c r="H47" s="109"/>
      <c r="I47" s="108" t="s">
        <v>139</v>
      </c>
      <c r="J47" s="177" t="s">
        <v>229</v>
      </c>
    </row>
    <row r="48" spans="2:10" ht="21" customHeight="1">
      <c r="B48" s="108" t="s">
        <v>15</v>
      </c>
      <c r="C48" s="109" t="s">
        <v>198</v>
      </c>
      <c r="D48" s="109"/>
      <c r="E48" s="109"/>
      <c r="F48" s="109"/>
      <c r="G48" s="109"/>
      <c r="H48" s="109"/>
      <c r="I48" s="108" t="s">
        <v>139</v>
      </c>
      <c r="J48" s="177" t="s">
        <v>230</v>
      </c>
    </row>
    <row r="49" spans="2:10" ht="21" customHeight="1">
      <c r="B49" s="108" t="s">
        <v>16</v>
      </c>
      <c r="C49" s="109" t="s">
        <v>199</v>
      </c>
      <c r="D49" s="109"/>
      <c r="E49" s="109"/>
      <c r="F49" s="109"/>
      <c r="G49" s="109"/>
      <c r="H49" s="109"/>
      <c r="I49" s="108" t="s">
        <v>139</v>
      </c>
      <c r="J49" s="202" t="s">
        <v>118</v>
      </c>
    </row>
    <row r="50" spans="2:10" ht="21" customHeight="1">
      <c r="B50" s="108" t="s">
        <v>19</v>
      </c>
      <c r="C50" s="109" t="s">
        <v>200</v>
      </c>
      <c r="D50" s="109"/>
      <c r="E50" s="109"/>
      <c r="F50" s="109"/>
      <c r="G50" s="109"/>
      <c r="H50" s="109"/>
      <c r="I50" s="108" t="s">
        <v>139</v>
      </c>
      <c r="J50" s="177" t="s">
        <v>231</v>
      </c>
    </row>
    <row r="51" spans="2:10" ht="21" customHeight="1">
      <c r="B51" s="110" t="s">
        <v>21</v>
      </c>
      <c r="C51" s="111" t="s">
        <v>201</v>
      </c>
      <c r="D51" s="111"/>
      <c r="E51" s="111"/>
      <c r="F51" s="111"/>
      <c r="G51" s="111"/>
      <c r="H51" s="111"/>
      <c r="I51" s="110" t="s">
        <v>139</v>
      </c>
      <c r="J51" s="178" t="s">
        <v>226</v>
      </c>
    </row>
    <row r="52" spans="2:10" ht="21" customHeight="1">
      <c r="B52" s="34"/>
      <c r="C52" s="34"/>
      <c r="D52" s="34"/>
      <c r="E52" s="34"/>
      <c r="F52" s="34"/>
      <c r="G52" s="34"/>
      <c r="H52" s="34"/>
      <c r="I52" s="34"/>
      <c r="J52" s="34"/>
    </row>
    <row r="53" spans="2:10" ht="21" customHeight="1">
      <c r="B53" s="112" t="s">
        <v>202</v>
      </c>
      <c r="C53" s="113" t="s">
        <v>138</v>
      </c>
      <c r="D53" s="114"/>
      <c r="E53" s="115"/>
      <c r="F53" s="115"/>
      <c r="G53" s="115"/>
      <c r="H53" s="115"/>
      <c r="I53" s="115"/>
      <c r="J53" s="115"/>
    </row>
    <row r="54" spans="2:10" ht="21" customHeight="1">
      <c r="B54" s="118"/>
      <c r="C54" s="119" t="s">
        <v>203</v>
      </c>
      <c r="D54" s="118"/>
      <c r="E54" s="120" t="s">
        <v>204</v>
      </c>
      <c r="F54" s="118" t="s">
        <v>205</v>
      </c>
      <c r="G54" s="121"/>
      <c r="H54" s="118" t="s">
        <v>206</v>
      </c>
      <c r="I54" s="118"/>
      <c r="J54" s="122"/>
    </row>
    <row r="55" spans="2:10" ht="21" customHeight="1">
      <c r="B55" s="34"/>
      <c r="C55" s="89" t="s">
        <v>71</v>
      </c>
      <c r="D55" s="34"/>
      <c r="E55" s="34"/>
      <c r="F55" s="34"/>
      <c r="G55" s="34"/>
      <c r="H55" s="34"/>
      <c r="I55" s="34"/>
      <c r="J55" s="44"/>
    </row>
    <row r="56" spans="2:10" ht="21" customHeight="1">
      <c r="B56" s="90" t="s">
        <v>5</v>
      </c>
      <c r="C56" s="91" t="s">
        <v>148</v>
      </c>
      <c r="D56" s="92"/>
      <c r="E56" s="92"/>
      <c r="F56" s="92"/>
      <c r="G56" s="92"/>
      <c r="H56" s="92"/>
      <c r="I56" s="93" t="s">
        <v>149</v>
      </c>
      <c r="J56" s="203">
        <v>8000000</v>
      </c>
    </row>
    <row r="57" spans="2:10" ht="21" customHeight="1">
      <c r="B57" s="94" t="s">
        <v>7</v>
      </c>
      <c r="C57" s="95" t="s">
        <v>150</v>
      </c>
      <c r="D57" s="96"/>
      <c r="E57" s="96"/>
      <c r="F57" s="96"/>
      <c r="G57" s="96"/>
      <c r="H57" s="96"/>
      <c r="I57" s="93" t="s">
        <v>149</v>
      </c>
      <c r="J57" s="204">
        <v>0</v>
      </c>
    </row>
    <row r="58" spans="2:10" ht="21" customHeight="1">
      <c r="B58" s="94" t="s">
        <v>9</v>
      </c>
      <c r="C58" s="95" t="s">
        <v>151</v>
      </c>
      <c r="D58" s="96"/>
      <c r="E58" s="96"/>
      <c r="F58" s="96"/>
      <c r="G58" s="96"/>
      <c r="H58" s="96"/>
      <c r="I58" s="93" t="s">
        <v>149</v>
      </c>
      <c r="J58" s="203">
        <f>400000+400000</f>
        <v>800000</v>
      </c>
    </row>
    <row r="59" spans="2:10" ht="21" customHeight="1">
      <c r="B59" s="94" t="s">
        <v>11</v>
      </c>
      <c r="C59" s="95" t="s">
        <v>152</v>
      </c>
      <c r="D59" s="96"/>
      <c r="E59" s="96"/>
      <c r="F59" s="96"/>
      <c r="G59" s="96"/>
      <c r="H59" s="96"/>
      <c r="I59" s="93" t="s">
        <v>149</v>
      </c>
      <c r="J59" s="204">
        <v>0</v>
      </c>
    </row>
    <row r="60" spans="2:10" ht="21" customHeight="1">
      <c r="B60" s="94" t="s">
        <v>13</v>
      </c>
      <c r="C60" s="95" t="s">
        <v>153</v>
      </c>
      <c r="D60" s="96"/>
      <c r="E60" s="96"/>
      <c r="F60" s="96"/>
      <c r="G60" s="96"/>
      <c r="H60" s="96"/>
      <c r="I60" s="93" t="s">
        <v>149</v>
      </c>
      <c r="J60" s="203">
        <f>32000+16000</f>
        <v>48000</v>
      </c>
    </row>
    <row r="61" spans="2:10" ht="21" customHeight="1">
      <c r="B61" s="94" t="s">
        <v>15</v>
      </c>
      <c r="C61" s="95" t="s">
        <v>154</v>
      </c>
      <c r="D61" s="96"/>
      <c r="E61" s="96"/>
      <c r="F61" s="96"/>
      <c r="G61" s="96"/>
      <c r="H61" s="96"/>
      <c r="I61" s="93" t="s">
        <v>149</v>
      </c>
      <c r="J61" s="204">
        <v>0</v>
      </c>
    </row>
    <row r="62" spans="2:10" ht="21" customHeight="1">
      <c r="B62" s="94" t="s">
        <v>16</v>
      </c>
      <c r="C62" s="95" t="s">
        <v>156</v>
      </c>
      <c r="D62" s="96"/>
      <c r="E62" s="96"/>
      <c r="F62" s="96"/>
      <c r="G62" s="96"/>
      <c r="H62" s="96"/>
      <c r="I62" s="93" t="s">
        <v>149</v>
      </c>
      <c r="J62" s="204">
        <v>0</v>
      </c>
    </row>
    <row r="63" spans="2:10" ht="21" customHeight="1">
      <c r="B63" s="100" t="s">
        <v>19</v>
      </c>
      <c r="C63" s="206" t="s">
        <v>157</v>
      </c>
      <c r="D63" s="207"/>
      <c r="E63" s="207"/>
      <c r="F63" s="207"/>
      <c r="G63" s="207"/>
      <c r="H63" s="207"/>
      <c r="I63" s="208" t="s">
        <v>149</v>
      </c>
      <c r="J63" s="209">
        <f>SUM(J56:J62)</f>
        <v>8848000</v>
      </c>
    </row>
    <row r="64" spans="2:10" ht="21" customHeight="1">
      <c r="B64" s="97"/>
      <c r="C64" s="98" t="s">
        <v>159</v>
      </c>
      <c r="D64" s="97"/>
      <c r="E64" s="97"/>
      <c r="F64" s="97"/>
      <c r="G64" s="97"/>
      <c r="H64" s="97"/>
      <c r="I64" s="99"/>
      <c r="J64" s="196"/>
    </row>
    <row r="65" spans="2:10" ht="21" customHeight="1">
      <c r="B65" s="100" t="s">
        <v>21</v>
      </c>
      <c r="C65" s="98" t="s">
        <v>207</v>
      </c>
      <c r="D65" s="97"/>
      <c r="E65" s="97"/>
      <c r="F65" s="97"/>
      <c r="G65" s="97"/>
      <c r="H65" s="97"/>
      <c r="I65" s="175" t="s">
        <v>149</v>
      </c>
      <c r="J65" s="205">
        <f>IF((J63*5%)&gt;500000,500000,J63*5%)</f>
        <v>442400</v>
      </c>
    </row>
    <row r="66" spans="2:10" ht="21" customHeight="1">
      <c r="B66" s="100" t="s">
        <v>24</v>
      </c>
      <c r="C66" s="98" t="s">
        <v>165</v>
      </c>
      <c r="D66" s="97"/>
      <c r="E66" s="97"/>
      <c r="F66" s="97"/>
      <c r="G66" s="97"/>
      <c r="H66" s="97"/>
      <c r="I66" s="175" t="s">
        <v>149</v>
      </c>
      <c r="J66" s="211">
        <f>100000+60000</f>
        <v>160000</v>
      </c>
    </row>
    <row r="67" spans="2:10" ht="21" customHeight="1">
      <c r="B67" s="100" t="s">
        <v>25</v>
      </c>
      <c r="C67" s="98" t="s">
        <v>166</v>
      </c>
      <c r="D67" s="97"/>
      <c r="E67" s="97"/>
      <c r="F67" s="97"/>
      <c r="G67" s="97"/>
      <c r="H67" s="97"/>
      <c r="I67" s="175" t="s">
        <v>149</v>
      </c>
      <c r="J67" s="205">
        <f>SUM(J65:J66)</f>
        <v>602400</v>
      </c>
    </row>
    <row r="68" spans="2:10" ht="21" customHeight="1">
      <c r="B68" s="100"/>
      <c r="C68" s="98" t="s">
        <v>80</v>
      </c>
      <c r="D68" s="97"/>
      <c r="E68" s="97"/>
      <c r="F68" s="97"/>
      <c r="G68" s="97"/>
      <c r="H68" s="97"/>
      <c r="I68" s="175"/>
      <c r="J68" s="205"/>
    </row>
    <row r="69" spans="2:10" ht="21" customHeight="1">
      <c r="B69" s="100" t="s">
        <v>26</v>
      </c>
      <c r="C69" s="206" t="s">
        <v>208</v>
      </c>
      <c r="D69" s="207"/>
      <c r="E69" s="207"/>
      <c r="F69" s="207"/>
      <c r="G69" s="207"/>
      <c r="H69" s="207"/>
      <c r="I69" s="208" t="s">
        <v>149</v>
      </c>
      <c r="J69" s="209">
        <f>J63-J67</f>
        <v>8245600</v>
      </c>
    </row>
    <row r="70" spans="2:10" ht="21" customHeight="1">
      <c r="B70" s="100" t="s">
        <v>28</v>
      </c>
      <c r="C70" s="98" t="s">
        <v>171</v>
      </c>
      <c r="D70" s="97"/>
      <c r="E70" s="97"/>
      <c r="F70" s="97"/>
      <c r="G70" s="97"/>
      <c r="H70" s="97"/>
      <c r="I70" s="93" t="s">
        <v>149</v>
      </c>
      <c r="J70" s="204">
        <f>J69*12</f>
        <v>98947200</v>
      </c>
    </row>
    <row r="71" spans="2:10" ht="21" customHeight="1">
      <c r="B71" s="100" t="s">
        <v>31</v>
      </c>
      <c r="C71" s="98" t="s">
        <v>172</v>
      </c>
      <c r="D71" s="97"/>
      <c r="E71" s="97"/>
      <c r="F71" s="97"/>
      <c r="G71" s="97"/>
      <c r="H71" s="97"/>
      <c r="I71" s="93" t="s">
        <v>149</v>
      </c>
      <c r="J71" s="204">
        <v>36000000</v>
      </c>
    </row>
    <row r="72" spans="2:10" ht="21" customHeight="1">
      <c r="B72" s="100" t="s">
        <v>32</v>
      </c>
      <c r="C72" s="206" t="s">
        <v>173</v>
      </c>
      <c r="D72" s="207"/>
      <c r="E72" s="207"/>
      <c r="F72" s="207"/>
      <c r="G72" s="207"/>
      <c r="H72" s="207"/>
      <c r="I72" s="208" t="s">
        <v>149</v>
      </c>
      <c r="J72" s="180">
        <f>ROUNDDOWN((J70-J71),-3)</f>
        <v>62947000</v>
      </c>
    </row>
    <row r="73" spans="2:10" ht="21" customHeight="1">
      <c r="B73" s="100" t="s">
        <v>33</v>
      </c>
      <c r="C73" s="98" t="s">
        <v>174</v>
      </c>
      <c r="D73" s="97"/>
      <c r="E73" s="97"/>
      <c r="F73" s="97"/>
      <c r="G73" s="97"/>
      <c r="H73" s="97"/>
      <c r="I73" s="93" t="s">
        <v>149</v>
      </c>
      <c r="J73" s="181">
        <f>IF(J72&gt;0,((J72-50000000)*15%)+2500000,0)</f>
        <v>4442050</v>
      </c>
    </row>
    <row r="74" spans="2:10" ht="21" customHeight="1">
      <c r="B74" s="100" t="s">
        <v>34</v>
      </c>
      <c r="C74" s="98" t="s">
        <v>51</v>
      </c>
      <c r="D74" s="97"/>
      <c r="E74" s="97"/>
      <c r="F74" s="97"/>
      <c r="G74" s="97"/>
      <c r="H74" s="97"/>
      <c r="I74" s="93" t="s">
        <v>149</v>
      </c>
      <c r="J74" s="204">
        <f>J73/12</f>
        <v>370170.83333333331</v>
      </c>
    </row>
    <row r="75" spans="2:10" ht="21" customHeight="1">
      <c r="B75" s="100"/>
      <c r="C75" s="98" t="s">
        <v>209</v>
      </c>
      <c r="D75" s="97"/>
      <c r="E75" s="97"/>
      <c r="F75" s="97"/>
      <c r="G75" s="97"/>
      <c r="H75" s="97"/>
      <c r="I75" s="93"/>
      <c r="J75" s="195"/>
    </row>
    <row r="76" spans="2:10" ht="21" customHeight="1">
      <c r="B76" s="100" t="s">
        <v>35</v>
      </c>
      <c r="C76" s="98" t="s">
        <v>210</v>
      </c>
      <c r="D76" s="97"/>
      <c r="E76" s="97"/>
      <c r="F76" s="97"/>
      <c r="G76" s="97"/>
      <c r="H76" s="97"/>
      <c r="I76" s="93" t="s">
        <v>149</v>
      </c>
      <c r="J76" s="205">
        <v>0</v>
      </c>
    </row>
    <row r="77" spans="2:10" ht="21" customHeight="1">
      <c r="B77" s="100" t="s">
        <v>36</v>
      </c>
      <c r="C77" s="98" t="s">
        <v>181</v>
      </c>
      <c r="D77" s="97"/>
      <c r="E77" s="97"/>
      <c r="F77" s="97"/>
      <c r="G77" s="97"/>
      <c r="H77" s="97"/>
      <c r="I77" s="93" t="s">
        <v>149</v>
      </c>
      <c r="J77" s="205">
        <v>0</v>
      </c>
    </row>
    <row r="78" spans="2:10" ht="21" customHeight="1">
      <c r="B78" s="100" t="s">
        <v>37</v>
      </c>
      <c r="C78" s="206" t="s">
        <v>183</v>
      </c>
      <c r="D78" s="207"/>
      <c r="E78" s="207"/>
      <c r="F78" s="207"/>
      <c r="G78" s="207"/>
      <c r="H78" s="207"/>
      <c r="I78" s="208" t="s">
        <v>149</v>
      </c>
      <c r="J78" s="209">
        <f>J74+J76-J77</f>
        <v>370170.83333333331</v>
      </c>
    </row>
    <row r="82" spans="2:10" ht="21" customHeight="1">
      <c r="B82" s="116" t="s">
        <v>191</v>
      </c>
      <c r="C82" s="116" t="s">
        <v>192</v>
      </c>
      <c r="D82" s="117"/>
      <c r="E82" s="117"/>
      <c r="F82" s="117"/>
      <c r="G82" s="117"/>
      <c r="H82" s="117"/>
      <c r="I82" s="117"/>
      <c r="J82" s="117"/>
    </row>
    <row r="83" spans="2:10" ht="21" customHeight="1">
      <c r="B83" s="86" t="s">
        <v>5</v>
      </c>
      <c r="C83" s="87" t="s">
        <v>193</v>
      </c>
      <c r="D83" s="87"/>
      <c r="E83" s="87"/>
      <c r="F83" s="87"/>
      <c r="G83" s="87"/>
      <c r="H83" s="87"/>
      <c r="I83" s="86" t="s">
        <v>139</v>
      </c>
      <c r="J83" s="176" t="s">
        <v>232</v>
      </c>
    </row>
    <row r="84" spans="2:10" ht="21" customHeight="1">
      <c r="B84" s="108" t="s">
        <v>7</v>
      </c>
      <c r="C84" s="109" t="s">
        <v>194</v>
      </c>
      <c r="D84" s="109"/>
      <c r="E84" s="109"/>
      <c r="F84" s="109"/>
      <c r="G84" s="109"/>
      <c r="H84" s="109"/>
      <c r="I84" s="108" t="s">
        <v>139</v>
      </c>
      <c r="J84" s="202" t="s">
        <v>233</v>
      </c>
    </row>
    <row r="85" spans="2:10" ht="21" customHeight="1">
      <c r="B85" s="108" t="s">
        <v>9</v>
      </c>
      <c r="C85" s="109" t="s">
        <v>195</v>
      </c>
      <c r="D85" s="109"/>
      <c r="E85" s="109"/>
      <c r="F85" s="109"/>
      <c r="G85" s="109"/>
      <c r="H85" s="109"/>
      <c r="I85" s="108" t="s">
        <v>139</v>
      </c>
      <c r="J85" s="177"/>
    </row>
    <row r="86" spans="2:10" ht="21" customHeight="1">
      <c r="B86" s="108" t="s">
        <v>11</v>
      </c>
      <c r="C86" s="109" t="s">
        <v>196</v>
      </c>
      <c r="D86" s="109"/>
      <c r="E86" s="109"/>
      <c r="F86" s="109"/>
      <c r="G86" s="109"/>
      <c r="H86" s="109"/>
      <c r="I86" s="108" t="s">
        <v>139</v>
      </c>
      <c r="J86" s="177" t="s">
        <v>223</v>
      </c>
    </row>
    <row r="87" spans="2:10" ht="21" customHeight="1">
      <c r="B87" s="108" t="s">
        <v>13</v>
      </c>
      <c r="C87" s="109" t="s">
        <v>197</v>
      </c>
      <c r="D87" s="109"/>
      <c r="E87" s="109"/>
      <c r="F87" s="109"/>
      <c r="G87" s="109"/>
      <c r="H87" s="109"/>
      <c r="I87" s="108" t="s">
        <v>139</v>
      </c>
      <c r="J87" s="177" t="s">
        <v>234</v>
      </c>
    </row>
    <row r="88" spans="2:10" ht="21" customHeight="1">
      <c r="B88" s="108" t="s">
        <v>15</v>
      </c>
      <c r="C88" s="109" t="s">
        <v>198</v>
      </c>
      <c r="D88" s="109"/>
      <c r="E88" s="109"/>
      <c r="F88" s="109"/>
      <c r="G88" s="109"/>
      <c r="H88" s="109"/>
      <c r="I88" s="108" t="s">
        <v>139</v>
      </c>
      <c r="J88" s="177" t="s">
        <v>225</v>
      </c>
    </row>
    <row r="89" spans="2:10" ht="21" customHeight="1">
      <c r="B89" s="108" t="s">
        <v>16</v>
      </c>
      <c r="C89" s="109" t="s">
        <v>199</v>
      </c>
      <c r="D89" s="109"/>
      <c r="E89" s="109"/>
      <c r="F89" s="109"/>
      <c r="G89" s="109"/>
      <c r="H89" s="109"/>
      <c r="I89" s="108" t="s">
        <v>139</v>
      </c>
      <c r="J89" s="177" t="s">
        <v>118</v>
      </c>
    </row>
    <row r="90" spans="2:10" ht="21" customHeight="1">
      <c r="B90" s="108" t="s">
        <v>19</v>
      </c>
      <c r="C90" s="109" t="s">
        <v>200</v>
      </c>
      <c r="D90" s="109"/>
      <c r="E90" s="109"/>
      <c r="F90" s="109"/>
      <c r="G90" s="109"/>
      <c r="H90" s="109"/>
      <c r="I90" s="108" t="s">
        <v>139</v>
      </c>
      <c r="J90" s="177" t="s">
        <v>231</v>
      </c>
    </row>
    <row r="91" spans="2:10" ht="21" customHeight="1">
      <c r="B91" s="110" t="s">
        <v>21</v>
      </c>
      <c r="C91" s="111" t="s">
        <v>201</v>
      </c>
      <c r="D91" s="111"/>
      <c r="E91" s="111"/>
      <c r="F91" s="111"/>
      <c r="G91" s="111"/>
      <c r="H91" s="111"/>
      <c r="I91" s="110" t="s">
        <v>139</v>
      </c>
      <c r="J91" s="202" t="s">
        <v>140</v>
      </c>
    </row>
    <row r="92" spans="2:10" ht="21" customHeight="1">
      <c r="B92" s="34"/>
      <c r="C92" s="34"/>
      <c r="D92" s="34"/>
      <c r="E92" s="34"/>
      <c r="F92" s="34"/>
      <c r="G92" s="34"/>
      <c r="H92" s="34"/>
      <c r="I92" s="34"/>
      <c r="J92" s="34"/>
    </row>
    <row r="93" spans="2:10" ht="21" customHeight="1">
      <c r="B93" s="112" t="s">
        <v>202</v>
      </c>
      <c r="C93" s="113" t="s">
        <v>138</v>
      </c>
      <c r="D93" s="114"/>
      <c r="E93" s="115"/>
      <c r="F93" s="115"/>
      <c r="G93" s="115"/>
      <c r="H93" s="115"/>
      <c r="I93" s="115"/>
      <c r="J93" s="115"/>
    </row>
    <row r="94" spans="2:10" ht="21" customHeight="1">
      <c r="B94" s="118"/>
      <c r="C94" s="119" t="s">
        <v>203</v>
      </c>
      <c r="D94" s="118"/>
      <c r="E94" s="120" t="s">
        <v>204</v>
      </c>
      <c r="F94" s="118" t="s">
        <v>205</v>
      </c>
      <c r="G94" s="121"/>
      <c r="H94" s="118" t="s">
        <v>206</v>
      </c>
      <c r="I94" s="118"/>
      <c r="J94" s="122"/>
    </row>
    <row r="95" spans="2:10" ht="21" customHeight="1">
      <c r="B95" s="34"/>
      <c r="C95" s="89" t="s">
        <v>71</v>
      </c>
      <c r="D95" s="34"/>
      <c r="E95" s="34"/>
      <c r="F95" s="34"/>
      <c r="G95" s="34"/>
      <c r="H95" s="34"/>
      <c r="I95" s="34"/>
      <c r="J95" s="44"/>
    </row>
    <row r="96" spans="2:10" ht="21" customHeight="1">
      <c r="B96" s="90" t="s">
        <v>5</v>
      </c>
      <c r="C96" s="91" t="s">
        <v>148</v>
      </c>
      <c r="D96" s="92"/>
      <c r="E96" s="92"/>
      <c r="F96" s="92"/>
      <c r="G96" s="92"/>
      <c r="H96" s="92"/>
      <c r="I96" s="93" t="s">
        <v>149</v>
      </c>
      <c r="J96" s="179">
        <v>7000000</v>
      </c>
    </row>
    <row r="97" spans="2:10" ht="21" customHeight="1">
      <c r="B97" s="94" t="s">
        <v>7</v>
      </c>
      <c r="C97" s="95" t="s">
        <v>150</v>
      </c>
      <c r="D97" s="96"/>
      <c r="E97" s="96"/>
      <c r="F97" s="96"/>
      <c r="G97" s="96"/>
      <c r="H97" s="96"/>
      <c r="I97" s="93" t="s">
        <v>149</v>
      </c>
      <c r="J97" s="180">
        <v>0</v>
      </c>
    </row>
    <row r="98" spans="2:10" ht="21" customHeight="1">
      <c r="B98" s="94" t="s">
        <v>9</v>
      </c>
      <c r="C98" s="95" t="s">
        <v>151</v>
      </c>
      <c r="D98" s="96"/>
      <c r="E98" s="96"/>
      <c r="F98" s="96"/>
      <c r="G98" s="96"/>
      <c r="H98" s="96"/>
      <c r="I98" s="93" t="s">
        <v>149</v>
      </c>
      <c r="J98" s="179">
        <f>60000+50000</f>
        <v>110000</v>
      </c>
    </row>
    <row r="99" spans="2:10" ht="21" customHeight="1">
      <c r="B99" s="94" t="s">
        <v>11</v>
      </c>
      <c r="C99" s="95" t="s">
        <v>152</v>
      </c>
      <c r="D99" s="96"/>
      <c r="E99" s="96"/>
      <c r="F99" s="96"/>
      <c r="G99" s="96"/>
      <c r="H99" s="96"/>
      <c r="I99" s="93" t="s">
        <v>149</v>
      </c>
      <c r="J99" s="180">
        <v>0</v>
      </c>
    </row>
    <row r="100" spans="2:10" ht="21" customHeight="1">
      <c r="B100" s="94" t="s">
        <v>13</v>
      </c>
      <c r="C100" s="95" t="s">
        <v>153</v>
      </c>
      <c r="D100" s="96"/>
      <c r="E100" s="96"/>
      <c r="F100" s="96"/>
      <c r="G100" s="96"/>
      <c r="H100" s="96"/>
      <c r="I100" s="93" t="s">
        <v>149</v>
      </c>
      <c r="J100" s="179">
        <f>28000+14000</f>
        <v>42000</v>
      </c>
    </row>
    <row r="101" spans="2:10" ht="21" customHeight="1">
      <c r="B101" s="94" t="s">
        <v>15</v>
      </c>
      <c r="C101" s="95" t="s">
        <v>154</v>
      </c>
      <c r="D101" s="96"/>
      <c r="E101" s="96"/>
      <c r="F101" s="96"/>
      <c r="G101" s="96"/>
      <c r="H101" s="96"/>
      <c r="I101" s="93" t="s">
        <v>149</v>
      </c>
      <c r="J101" s="180">
        <v>0</v>
      </c>
    </row>
    <row r="102" spans="2:10" ht="21" customHeight="1">
      <c r="B102" s="94" t="s">
        <v>16</v>
      </c>
      <c r="C102" s="95" t="s">
        <v>156</v>
      </c>
      <c r="D102" s="96"/>
      <c r="E102" s="96"/>
      <c r="F102" s="96"/>
      <c r="G102" s="96"/>
      <c r="H102" s="96"/>
      <c r="I102" s="93" t="s">
        <v>149</v>
      </c>
      <c r="J102" s="180">
        <v>0</v>
      </c>
    </row>
    <row r="103" spans="2:10" ht="21" customHeight="1">
      <c r="B103" s="100" t="s">
        <v>19</v>
      </c>
      <c r="C103" s="206" t="s">
        <v>157</v>
      </c>
      <c r="D103" s="207"/>
      <c r="E103" s="207"/>
      <c r="F103" s="207"/>
      <c r="G103" s="207"/>
      <c r="H103" s="207"/>
      <c r="I103" s="208" t="s">
        <v>149</v>
      </c>
      <c r="J103" s="212">
        <f>SUM(J96:J102)</f>
        <v>7152000</v>
      </c>
    </row>
    <row r="104" spans="2:10" ht="21" customHeight="1">
      <c r="B104" s="97"/>
      <c r="C104" s="98" t="s">
        <v>159</v>
      </c>
      <c r="D104" s="97"/>
      <c r="E104" s="97"/>
      <c r="F104" s="97"/>
      <c r="G104" s="97"/>
      <c r="H104" s="97"/>
      <c r="I104" s="99"/>
      <c r="J104" s="181"/>
    </row>
    <row r="105" spans="2:10" ht="21" customHeight="1">
      <c r="B105" s="100" t="s">
        <v>21</v>
      </c>
      <c r="C105" s="98" t="s">
        <v>207</v>
      </c>
      <c r="D105" s="97"/>
      <c r="E105" s="97"/>
      <c r="F105" s="97"/>
      <c r="G105" s="97"/>
      <c r="H105" s="97"/>
      <c r="I105" s="175" t="s">
        <v>149</v>
      </c>
      <c r="J105" s="205">
        <f>IF((J103*5%)&gt;500000,500000,J103*5%)</f>
        <v>357600</v>
      </c>
    </row>
    <row r="106" spans="2:10" ht="21" customHeight="1">
      <c r="B106" s="100" t="s">
        <v>24</v>
      </c>
      <c r="C106" s="98" t="s">
        <v>165</v>
      </c>
      <c r="D106" s="97"/>
      <c r="E106" s="97"/>
      <c r="F106" s="97"/>
      <c r="G106" s="97"/>
      <c r="H106" s="97"/>
      <c r="I106" s="175" t="s">
        <v>149</v>
      </c>
      <c r="J106" s="211">
        <f>50000+30000</f>
        <v>80000</v>
      </c>
    </row>
    <row r="107" spans="2:10" ht="21" customHeight="1">
      <c r="B107" s="100" t="s">
        <v>25</v>
      </c>
      <c r="C107" s="98" t="s">
        <v>166</v>
      </c>
      <c r="D107" s="97"/>
      <c r="E107" s="97"/>
      <c r="F107" s="97"/>
      <c r="G107" s="97"/>
      <c r="H107" s="97"/>
      <c r="I107" s="175" t="s">
        <v>149</v>
      </c>
      <c r="J107" s="205">
        <f>SUM(J105:J106)</f>
        <v>437600</v>
      </c>
    </row>
    <row r="108" spans="2:10" ht="21" customHeight="1">
      <c r="B108" s="100"/>
      <c r="C108" s="98" t="s">
        <v>80</v>
      </c>
      <c r="D108" s="97"/>
      <c r="E108" s="97"/>
      <c r="F108" s="97"/>
      <c r="G108" s="97"/>
      <c r="H108" s="97"/>
      <c r="I108" s="175"/>
      <c r="J108" s="205"/>
    </row>
    <row r="109" spans="2:10" ht="21" customHeight="1">
      <c r="B109" s="100" t="s">
        <v>26</v>
      </c>
      <c r="C109" s="206" t="s">
        <v>208</v>
      </c>
      <c r="D109" s="207"/>
      <c r="E109" s="207"/>
      <c r="F109" s="207"/>
      <c r="G109" s="207"/>
      <c r="H109" s="207"/>
      <c r="I109" s="208" t="s">
        <v>149</v>
      </c>
      <c r="J109" s="212">
        <f>J103-J107</f>
        <v>6714400</v>
      </c>
    </row>
    <row r="110" spans="2:10" ht="21" customHeight="1">
      <c r="B110" s="100" t="s">
        <v>28</v>
      </c>
      <c r="C110" s="197" t="s">
        <v>171</v>
      </c>
      <c r="D110" s="198"/>
      <c r="E110" s="198"/>
      <c r="F110" s="198"/>
      <c r="G110" s="198"/>
      <c r="H110" s="198"/>
      <c r="I110" s="199" t="s">
        <v>149</v>
      </c>
      <c r="J110" s="242">
        <f>J109*6</f>
        <v>40286400</v>
      </c>
    </row>
    <row r="111" spans="2:10" ht="21" customHeight="1">
      <c r="B111" s="100" t="s">
        <v>31</v>
      </c>
      <c r="C111" s="213" t="s">
        <v>172</v>
      </c>
      <c r="D111" s="214"/>
      <c r="E111" s="214"/>
      <c r="F111" s="214"/>
      <c r="G111" s="214"/>
      <c r="H111" s="214"/>
      <c r="I111" s="215" t="s">
        <v>149</v>
      </c>
      <c r="J111" s="216">
        <v>54000000</v>
      </c>
    </row>
    <row r="112" spans="2:10" ht="21" customHeight="1">
      <c r="B112" s="100" t="s">
        <v>32</v>
      </c>
      <c r="C112" s="98" t="s">
        <v>173</v>
      </c>
      <c r="D112" s="97"/>
      <c r="E112" s="97"/>
      <c r="F112" s="97"/>
      <c r="G112" s="97"/>
      <c r="H112" s="97"/>
      <c r="I112" s="93" t="s">
        <v>149</v>
      </c>
      <c r="J112" s="180">
        <f>ROUNDDOWN((J110-J111),-3)</f>
        <v>-13713000</v>
      </c>
    </row>
    <row r="113" spans="2:10" ht="21" customHeight="1">
      <c r="B113" s="100" t="s">
        <v>33</v>
      </c>
      <c r="C113" s="98" t="s">
        <v>174</v>
      </c>
      <c r="D113" s="97"/>
      <c r="E113" s="97"/>
      <c r="F113" s="97"/>
      <c r="G113" s="97"/>
      <c r="H113" s="97"/>
      <c r="I113" s="93" t="s">
        <v>149</v>
      </c>
      <c r="J113" s="181">
        <f>J112*5%</f>
        <v>-685650</v>
      </c>
    </row>
    <row r="114" spans="2:10" ht="21" customHeight="1">
      <c r="B114" s="100" t="s">
        <v>34</v>
      </c>
      <c r="C114" s="206" t="s">
        <v>51</v>
      </c>
      <c r="D114" s="207"/>
      <c r="E114" s="207"/>
      <c r="F114" s="207"/>
      <c r="G114" s="207"/>
      <c r="H114" s="207"/>
      <c r="I114" s="208" t="s">
        <v>149</v>
      </c>
      <c r="J114" s="212">
        <f>J113/6</f>
        <v>-114275</v>
      </c>
    </row>
    <row r="115" spans="2:10" ht="21" customHeight="1">
      <c r="B115" s="100"/>
      <c r="C115" s="98" t="s">
        <v>209</v>
      </c>
      <c r="D115" s="97"/>
      <c r="E115" s="97"/>
      <c r="F115" s="97"/>
      <c r="G115" s="97"/>
      <c r="H115" s="97"/>
      <c r="I115" s="93"/>
      <c r="J115" s="180"/>
    </row>
    <row r="116" spans="2:10" ht="21" customHeight="1">
      <c r="B116" s="100" t="s">
        <v>35</v>
      </c>
      <c r="C116" s="206" t="s">
        <v>210</v>
      </c>
      <c r="D116" s="207"/>
      <c r="E116" s="207"/>
      <c r="F116" s="207"/>
      <c r="G116" s="207"/>
      <c r="H116" s="207"/>
      <c r="I116" s="208" t="s">
        <v>149</v>
      </c>
      <c r="J116" s="212">
        <f>J114*20%</f>
        <v>-22855</v>
      </c>
    </row>
    <row r="117" spans="2:10" ht="21" customHeight="1">
      <c r="B117" s="100" t="s">
        <v>36</v>
      </c>
      <c r="C117" s="98" t="s">
        <v>181</v>
      </c>
      <c r="D117" s="97"/>
      <c r="E117" s="97"/>
      <c r="F117" s="97"/>
      <c r="G117" s="97"/>
      <c r="H117" s="97"/>
      <c r="I117" s="93" t="s">
        <v>149</v>
      </c>
      <c r="J117" s="181">
        <v>0</v>
      </c>
    </row>
    <row r="118" spans="2:10" ht="21" customHeight="1">
      <c r="B118" s="100" t="s">
        <v>37</v>
      </c>
      <c r="C118" s="206" t="s">
        <v>183</v>
      </c>
      <c r="D118" s="207"/>
      <c r="E118" s="207"/>
      <c r="F118" s="207"/>
      <c r="G118" s="207"/>
      <c r="H118" s="207"/>
      <c r="I118" s="208" t="s">
        <v>149</v>
      </c>
      <c r="J118" s="212">
        <f>J114+J116-J117</f>
        <v>-137130</v>
      </c>
    </row>
  </sheetData>
  <pageMargins left="0.56000000000000005" right="0.59" top="0.5" bottom="0.5" header="0.3" footer="0.3"/>
  <pageSetup paperSize="9" scale="90" orientation="portrait" horizontalDpi="4294967293" verticalDpi="4294967293" r:id="rId1"/>
  <ignoredErrors>
    <ignoredError sqref="B3:B38" numberStoredAsText="1"/>
  </ignoredErrors>
</worksheet>
</file>

<file path=xl/worksheets/sheet3.xml><?xml version="1.0" encoding="utf-8"?>
<worksheet xmlns="http://schemas.openxmlformats.org/spreadsheetml/2006/main" xmlns:r="http://schemas.openxmlformats.org/officeDocument/2006/relationships">
  <sheetPr>
    <tabColor rgb="FFFFFF00"/>
  </sheetPr>
  <dimension ref="A1:V37"/>
  <sheetViews>
    <sheetView showGridLines="0" tabSelected="1" topLeftCell="A6" zoomScale="90" zoomScaleNormal="90" workbookViewId="0">
      <pane ySplit="2" topLeftCell="A35" activePane="bottomLeft" state="frozen"/>
      <selection activeCell="A6" sqref="A6"/>
      <selection pane="bottomLeft" activeCell="P16" sqref="P16:V18"/>
    </sheetView>
  </sheetViews>
  <sheetFormatPr defaultRowHeight="18" customHeight="1"/>
  <cols>
    <col min="1" max="1" width="4.5" customWidth="1"/>
    <col min="6" max="6" width="7.625" customWidth="1"/>
    <col min="7" max="7" width="7" customWidth="1"/>
    <col min="8" max="8" width="13.25" customWidth="1"/>
    <col min="9" max="9" width="1.125" customWidth="1"/>
    <col min="12" max="12" width="1" customWidth="1"/>
  </cols>
  <sheetData>
    <row r="1" spans="1:22" ht="18" customHeight="1">
      <c r="A1" s="4" t="s">
        <v>0</v>
      </c>
      <c r="B1" s="1"/>
      <c r="C1" s="1"/>
      <c r="D1" s="1"/>
      <c r="E1" s="1"/>
      <c r="F1" s="1"/>
      <c r="G1" s="1"/>
      <c r="H1" s="1"/>
      <c r="I1" s="1"/>
      <c r="J1" s="1"/>
      <c r="K1" s="1"/>
      <c r="L1" s="1"/>
      <c r="M1" s="1"/>
      <c r="N1" s="1"/>
    </row>
    <row r="2" spans="1:22" ht="18" hidden="1" customHeight="1">
      <c r="A2" s="4"/>
      <c r="B2" s="1"/>
      <c r="C2" s="1"/>
      <c r="D2" s="1"/>
      <c r="E2" s="1"/>
      <c r="F2" s="1"/>
      <c r="G2" s="1"/>
      <c r="H2" s="1"/>
      <c r="I2" s="1"/>
      <c r="J2" s="1"/>
      <c r="K2" s="1"/>
      <c r="L2" s="1"/>
      <c r="M2" s="1"/>
      <c r="N2" s="1"/>
    </row>
    <row r="3" spans="1:22" ht="18" hidden="1" customHeight="1">
      <c r="A3" s="279" t="s">
        <v>212</v>
      </c>
      <c r="B3" s="279"/>
      <c r="C3" s="279"/>
      <c r="D3" s="279"/>
      <c r="E3" s="279"/>
      <c r="F3" s="279"/>
      <c r="G3" s="279"/>
      <c r="H3" s="279"/>
      <c r="I3" s="279"/>
      <c r="J3" s="279"/>
      <c r="K3" s="279"/>
      <c r="L3" s="279"/>
      <c r="M3" s="279"/>
      <c r="N3" s="279"/>
      <c r="O3" s="3"/>
    </row>
    <row r="4" spans="1:22" ht="18" hidden="1" customHeight="1">
      <c r="A4" s="279"/>
      <c r="B4" s="279"/>
      <c r="C4" s="279"/>
      <c r="D4" s="279"/>
      <c r="E4" s="279"/>
      <c r="F4" s="279"/>
      <c r="G4" s="279"/>
      <c r="H4" s="279"/>
      <c r="I4" s="279"/>
      <c r="J4" s="279"/>
      <c r="K4" s="279"/>
      <c r="L4" s="279"/>
      <c r="M4" s="279"/>
      <c r="N4" s="279"/>
      <c r="O4" s="3"/>
    </row>
    <row r="5" spans="1:22" ht="18" hidden="1" customHeight="1"/>
    <row r="6" spans="1:22" ht="27" customHeight="1">
      <c r="A6" s="278" t="s">
        <v>2</v>
      </c>
      <c r="B6" s="278"/>
      <c r="C6" s="278"/>
      <c r="D6" s="278"/>
      <c r="E6" s="278"/>
      <c r="F6" s="278"/>
      <c r="G6" s="278"/>
      <c r="H6" s="278"/>
      <c r="I6" s="278"/>
      <c r="J6" s="278" t="s">
        <v>1</v>
      </c>
      <c r="K6" s="278"/>
      <c r="L6" s="278"/>
      <c r="M6" s="278"/>
      <c r="N6" s="278"/>
      <c r="O6" s="2"/>
    </row>
    <row r="7" spans="1:22" ht="33.75" customHeight="1">
      <c r="A7" s="278"/>
      <c r="B7" s="278"/>
      <c r="C7" s="278"/>
      <c r="D7" s="278"/>
      <c r="E7" s="278"/>
      <c r="F7" s="278"/>
      <c r="G7" s="278"/>
      <c r="H7" s="278"/>
      <c r="I7" s="278"/>
      <c r="J7" s="280" t="s">
        <v>4</v>
      </c>
      <c r="K7" s="280"/>
      <c r="L7" s="174"/>
      <c r="M7" s="281" t="s">
        <v>85</v>
      </c>
      <c r="N7" s="281"/>
      <c r="O7" s="2"/>
    </row>
    <row r="8" spans="1:22" ht="27" customHeight="1">
      <c r="A8" s="157" t="s">
        <v>3</v>
      </c>
      <c r="B8" s="157"/>
      <c r="C8" s="157"/>
      <c r="D8" s="157"/>
      <c r="E8" s="157"/>
      <c r="F8" s="157"/>
      <c r="G8" s="157"/>
      <c r="H8" s="157"/>
      <c r="I8" s="158"/>
      <c r="J8" s="276"/>
      <c r="K8" s="276"/>
      <c r="L8" s="159"/>
      <c r="M8" s="276"/>
      <c r="N8" s="276"/>
    </row>
    <row r="9" spans="1:22" ht="27" customHeight="1">
      <c r="A9" s="157" t="s">
        <v>4</v>
      </c>
      <c r="B9" s="157"/>
      <c r="C9" s="157"/>
      <c r="D9" s="157"/>
      <c r="E9" s="157"/>
      <c r="F9" s="157"/>
      <c r="G9" s="157"/>
      <c r="H9" s="157"/>
      <c r="I9" s="158"/>
      <c r="J9" s="276"/>
      <c r="K9" s="276"/>
      <c r="L9" s="159"/>
      <c r="M9" s="276"/>
      <c r="N9" s="276"/>
    </row>
    <row r="10" spans="1:22" ht="27" customHeight="1">
      <c r="A10" s="160" t="s">
        <v>5</v>
      </c>
      <c r="B10" s="161" t="s">
        <v>6</v>
      </c>
      <c r="C10" s="161"/>
      <c r="D10" s="161"/>
      <c r="E10" s="161"/>
      <c r="F10" s="161"/>
      <c r="G10" s="161"/>
      <c r="H10" s="161"/>
      <c r="I10" s="162"/>
      <c r="J10" s="275">
        <v>3500000</v>
      </c>
      <c r="K10" s="275"/>
      <c r="L10" s="217"/>
      <c r="M10" s="277">
        <f>J10*12</f>
        <v>42000000</v>
      </c>
      <c r="N10" s="277"/>
      <c r="P10" s="308" t="s">
        <v>240</v>
      </c>
      <c r="Q10" s="309"/>
      <c r="R10" s="309"/>
      <c r="S10" s="309"/>
      <c r="T10" s="309"/>
      <c r="U10" s="309"/>
      <c r="V10" s="310"/>
    </row>
    <row r="11" spans="1:22" ht="27" customHeight="1">
      <c r="A11" s="163" t="s">
        <v>7</v>
      </c>
      <c r="B11" s="164" t="s">
        <v>8</v>
      </c>
      <c r="C11" s="164"/>
      <c r="D11" s="164"/>
      <c r="E11" s="164"/>
      <c r="F11" s="164"/>
      <c r="G11" s="164"/>
      <c r="H11" s="164"/>
      <c r="I11" s="162"/>
      <c r="J11" s="267"/>
      <c r="K11" s="267"/>
      <c r="L11" s="217"/>
      <c r="M11" s="273"/>
      <c r="N11" s="273"/>
      <c r="P11" s="311"/>
      <c r="Q11" s="312"/>
      <c r="R11" s="312"/>
      <c r="S11" s="312"/>
      <c r="T11" s="312"/>
      <c r="U11" s="312"/>
      <c r="V11" s="313"/>
    </row>
    <row r="12" spans="1:22" ht="27" customHeight="1">
      <c r="A12" s="163" t="s">
        <v>9</v>
      </c>
      <c r="B12" s="164" t="s">
        <v>10</v>
      </c>
      <c r="C12" s="164"/>
      <c r="D12" s="164"/>
      <c r="E12" s="164"/>
      <c r="F12" s="164"/>
      <c r="G12" s="164"/>
      <c r="H12" s="164"/>
      <c r="I12" s="162"/>
      <c r="J12" s="275">
        <v>0</v>
      </c>
      <c r="K12" s="275"/>
      <c r="L12" s="217"/>
      <c r="M12" s="273">
        <f>J12*12</f>
        <v>0</v>
      </c>
      <c r="N12" s="273"/>
      <c r="P12" s="311"/>
      <c r="Q12" s="312"/>
      <c r="R12" s="312"/>
      <c r="S12" s="312"/>
      <c r="T12" s="312"/>
      <c r="U12" s="312"/>
      <c r="V12" s="313"/>
    </row>
    <row r="13" spans="1:22" ht="27" customHeight="1">
      <c r="A13" s="163" t="s">
        <v>11</v>
      </c>
      <c r="B13" s="164" t="s">
        <v>12</v>
      </c>
      <c r="C13" s="164"/>
      <c r="D13" s="164"/>
      <c r="E13" s="164"/>
      <c r="F13" s="164"/>
      <c r="G13" s="164"/>
      <c r="H13" s="164"/>
      <c r="I13" s="156"/>
      <c r="J13" s="267"/>
      <c r="K13" s="267"/>
      <c r="L13" s="217"/>
      <c r="M13" s="273"/>
      <c r="N13" s="273"/>
      <c r="P13" s="311"/>
      <c r="Q13" s="312"/>
      <c r="R13" s="312"/>
      <c r="S13" s="312"/>
      <c r="T13" s="312"/>
      <c r="U13" s="312"/>
      <c r="V13" s="313"/>
    </row>
    <row r="14" spans="1:22" ht="27" customHeight="1">
      <c r="A14" s="163" t="s">
        <v>13</v>
      </c>
      <c r="B14" s="164" t="s">
        <v>14</v>
      </c>
      <c r="C14" s="164"/>
      <c r="D14" s="164"/>
      <c r="E14" s="164"/>
      <c r="F14" s="164"/>
      <c r="G14" s="164"/>
      <c r="H14" s="164"/>
      <c r="I14" s="156"/>
      <c r="J14" s="275">
        <v>0</v>
      </c>
      <c r="K14" s="275"/>
      <c r="L14" s="217"/>
      <c r="M14" s="273">
        <f>J14*6</f>
        <v>0</v>
      </c>
      <c r="N14" s="273"/>
      <c r="P14" s="311"/>
      <c r="Q14" s="312"/>
      <c r="R14" s="312"/>
      <c r="S14" s="312"/>
      <c r="T14" s="312"/>
      <c r="U14" s="312"/>
      <c r="V14" s="313"/>
    </row>
    <row r="15" spans="1:22" ht="27" customHeight="1">
      <c r="A15" s="163" t="s">
        <v>15</v>
      </c>
      <c r="B15" s="164" t="s">
        <v>41</v>
      </c>
      <c r="C15" s="164"/>
      <c r="D15" s="164"/>
      <c r="E15" s="164"/>
      <c r="F15" s="164"/>
      <c r="G15" s="164"/>
      <c r="H15" s="164"/>
      <c r="I15" s="156"/>
      <c r="J15" s="267"/>
      <c r="K15" s="267"/>
      <c r="L15" s="217"/>
      <c r="M15" s="273"/>
      <c r="N15" s="273"/>
      <c r="P15" s="314"/>
      <c r="Q15" s="315"/>
      <c r="R15" s="315"/>
      <c r="S15" s="315"/>
      <c r="T15" s="315"/>
      <c r="U15" s="315"/>
      <c r="V15" s="316"/>
    </row>
    <row r="16" spans="1:22" ht="27" customHeight="1">
      <c r="A16" s="165" t="s">
        <v>16</v>
      </c>
      <c r="B16" s="166" t="s">
        <v>17</v>
      </c>
      <c r="C16" s="166"/>
      <c r="D16" s="166"/>
      <c r="E16" s="166"/>
      <c r="F16" s="166"/>
      <c r="G16" s="166"/>
      <c r="H16" s="166"/>
      <c r="I16" s="156"/>
      <c r="J16" s="275">
        <f>SUM(J10:K15)</f>
        <v>3500000</v>
      </c>
      <c r="K16" s="275"/>
      <c r="L16" s="217"/>
      <c r="M16" s="273">
        <f>M10+M12+M14</f>
        <v>42000000</v>
      </c>
      <c r="N16" s="273"/>
      <c r="P16" s="305"/>
      <c r="Q16" s="305"/>
      <c r="R16" s="305"/>
      <c r="S16" s="305"/>
      <c r="T16" s="305"/>
      <c r="U16" s="305"/>
      <c r="V16" s="305"/>
    </row>
    <row r="17" spans="1:22" ht="27" customHeight="1">
      <c r="A17" s="167" t="s">
        <v>18</v>
      </c>
      <c r="B17" s="164"/>
      <c r="C17" s="164"/>
      <c r="D17" s="164"/>
      <c r="E17" s="164"/>
      <c r="F17" s="164"/>
      <c r="G17" s="164"/>
      <c r="H17" s="164"/>
      <c r="I17" s="168"/>
      <c r="J17" s="270"/>
      <c r="K17" s="270"/>
      <c r="L17" s="217"/>
      <c r="M17" s="270"/>
      <c r="N17" s="270"/>
      <c r="P17" s="305"/>
      <c r="Q17" s="305"/>
      <c r="R17" s="305"/>
      <c r="S17" s="305"/>
      <c r="T17" s="305"/>
      <c r="U17" s="305"/>
      <c r="V17" s="305"/>
    </row>
    <row r="18" spans="1:22" ht="27" customHeight="1">
      <c r="A18" s="223" t="s">
        <v>19</v>
      </c>
      <c r="B18" s="224" t="s">
        <v>20</v>
      </c>
      <c r="C18" s="224"/>
      <c r="D18" s="224"/>
      <c r="E18" s="224"/>
      <c r="F18" s="224"/>
      <c r="G18" s="224"/>
      <c r="H18" s="224"/>
      <c r="I18" s="225"/>
      <c r="J18" s="274">
        <v>0</v>
      </c>
      <c r="K18" s="274"/>
      <c r="L18" s="217"/>
      <c r="M18" s="274">
        <v>3500000</v>
      </c>
      <c r="N18" s="274"/>
      <c r="P18" s="305"/>
      <c r="Q18" s="305"/>
      <c r="R18" s="305"/>
      <c r="S18" s="305"/>
      <c r="T18" s="305"/>
      <c r="U18" s="305"/>
      <c r="V18" s="305"/>
    </row>
    <row r="19" spans="1:22" ht="27" customHeight="1">
      <c r="A19" s="220" t="s">
        <v>21</v>
      </c>
      <c r="B19" s="221" t="s">
        <v>22</v>
      </c>
      <c r="C19" s="221"/>
      <c r="D19" s="221"/>
      <c r="E19" s="221"/>
      <c r="F19" s="221"/>
      <c r="G19" s="221"/>
      <c r="H19" s="221"/>
      <c r="I19" s="222"/>
      <c r="J19" s="272">
        <f>J16+J18</f>
        <v>3500000</v>
      </c>
      <c r="K19" s="272"/>
      <c r="L19" s="217"/>
      <c r="M19" s="271">
        <f>M16+M18</f>
        <v>45500000</v>
      </c>
      <c r="N19" s="271"/>
    </row>
    <row r="20" spans="1:22" ht="27" customHeight="1">
      <c r="A20" s="167" t="s">
        <v>23</v>
      </c>
      <c r="B20" s="167"/>
      <c r="C20" s="167"/>
      <c r="D20" s="167"/>
      <c r="E20" s="167"/>
      <c r="F20" s="167"/>
      <c r="G20" s="167"/>
      <c r="H20" s="167"/>
      <c r="I20" s="158"/>
      <c r="J20" s="267"/>
      <c r="K20" s="267"/>
      <c r="L20" s="217"/>
      <c r="M20" s="270"/>
      <c r="N20" s="270"/>
    </row>
    <row r="21" spans="1:22" ht="27" customHeight="1">
      <c r="A21" s="169" t="s">
        <v>24</v>
      </c>
      <c r="B21" s="170" t="s">
        <v>42</v>
      </c>
      <c r="C21" s="170"/>
      <c r="D21" s="170"/>
      <c r="E21" s="170"/>
      <c r="F21" s="170"/>
      <c r="G21" s="170"/>
      <c r="H21" s="170"/>
      <c r="I21" s="168"/>
      <c r="J21" s="269">
        <f>J19*5%</f>
        <v>175000</v>
      </c>
      <c r="K21" s="269"/>
      <c r="L21" s="217"/>
      <c r="M21" s="269">
        <f>M16*5%</f>
        <v>2100000</v>
      </c>
      <c r="N21" s="269"/>
    </row>
    <row r="22" spans="1:22" ht="27" customHeight="1">
      <c r="A22" s="165" t="s">
        <v>25</v>
      </c>
      <c r="B22" s="166" t="s">
        <v>43</v>
      </c>
      <c r="C22" s="166"/>
      <c r="D22" s="166"/>
      <c r="E22" s="166"/>
      <c r="F22" s="166"/>
      <c r="G22" s="166"/>
      <c r="H22" s="166"/>
      <c r="I22" s="168"/>
      <c r="J22" s="267"/>
      <c r="K22" s="267"/>
      <c r="L22" s="217"/>
      <c r="M22" s="267">
        <f>M18*5%</f>
        <v>175000</v>
      </c>
      <c r="N22" s="267"/>
    </row>
    <row r="23" spans="1:22" ht="27" customHeight="1">
      <c r="A23" s="169" t="s">
        <v>26</v>
      </c>
      <c r="B23" s="170" t="s">
        <v>27</v>
      </c>
      <c r="C23" s="170"/>
      <c r="D23" s="170"/>
      <c r="E23" s="170"/>
      <c r="F23" s="170"/>
      <c r="G23" s="170"/>
      <c r="H23" s="170"/>
      <c r="I23" s="168"/>
      <c r="J23" s="269"/>
      <c r="K23" s="269"/>
      <c r="L23" s="217"/>
      <c r="M23" s="269">
        <f>J23*6</f>
        <v>0</v>
      </c>
      <c r="N23" s="269"/>
    </row>
    <row r="24" spans="1:22" ht="27" customHeight="1">
      <c r="A24" s="163" t="s">
        <v>28</v>
      </c>
      <c r="B24" s="221" t="s">
        <v>29</v>
      </c>
      <c r="C24" s="221"/>
      <c r="D24" s="221"/>
      <c r="E24" s="221"/>
      <c r="F24" s="221"/>
      <c r="G24" s="221"/>
      <c r="H24" s="221"/>
      <c r="I24" s="222"/>
      <c r="J24" s="272">
        <f>SUM(J21:K23)</f>
        <v>175000</v>
      </c>
      <c r="K24" s="272"/>
      <c r="L24" s="217"/>
      <c r="M24" s="271">
        <f>SUM(M21:N23)</f>
        <v>2275000</v>
      </c>
      <c r="N24" s="271"/>
    </row>
    <row r="25" spans="1:22" ht="27" customHeight="1">
      <c r="A25" s="167" t="s">
        <v>30</v>
      </c>
      <c r="B25" s="167"/>
      <c r="C25" s="167"/>
      <c r="D25" s="167"/>
      <c r="E25" s="167"/>
      <c r="F25" s="167"/>
      <c r="G25" s="167"/>
      <c r="H25" s="167"/>
      <c r="I25" s="158"/>
      <c r="J25" s="270"/>
      <c r="K25" s="270"/>
      <c r="L25" s="217"/>
      <c r="M25" s="270"/>
      <c r="N25" s="270"/>
    </row>
    <row r="26" spans="1:22" ht="27" customHeight="1">
      <c r="A26" s="163" t="s">
        <v>31</v>
      </c>
      <c r="B26" s="164" t="s">
        <v>48</v>
      </c>
      <c r="C26" s="164"/>
      <c r="D26" s="164"/>
      <c r="E26" s="164"/>
      <c r="F26" s="164"/>
      <c r="G26" s="164"/>
      <c r="H26" s="164"/>
      <c r="I26" s="168"/>
      <c r="J26" s="267">
        <f>J19-J24</f>
        <v>3325000</v>
      </c>
      <c r="K26" s="267"/>
      <c r="L26" s="217"/>
      <c r="M26" s="267">
        <f>M19-M24</f>
        <v>43225000</v>
      </c>
      <c r="N26" s="267"/>
    </row>
    <row r="27" spans="1:22" ht="27" customHeight="1">
      <c r="A27" s="220" t="s">
        <v>32</v>
      </c>
      <c r="B27" s="221" t="s">
        <v>49</v>
      </c>
      <c r="C27" s="221"/>
      <c r="D27" s="221"/>
      <c r="E27" s="221"/>
      <c r="F27" s="221"/>
      <c r="G27" s="221"/>
      <c r="H27" s="221"/>
      <c r="I27" s="222"/>
      <c r="J27" s="272">
        <f>J26*12</f>
        <v>39900000</v>
      </c>
      <c r="K27" s="272"/>
      <c r="L27" s="217"/>
      <c r="M27" s="271">
        <f>M26</f>
        <v>43225000</v>
      </c>
      <c r="N27" s="271"/>
      <c r="O27" s="306" t="s">
        <v>239</v>
      </c>
    </row>
    <row r="28" spans="1:22" ht="27" customHeight="1">
      <c r="A28" s="165" t="s">
        <v>32</v>
      </c>
      <c r="B28" s="166" t="s">
        <v>50</v>
      </c>
      <c r="C28" s="166"/>
      <c r="D28" s="166"/>
      <c r="E28" s="166"/>
      <c r="F28" s="166"/>
      <c r="G28" s="166"/>
      <c r="H28" s="166"/>
      <c r="I28" s="168"/>
      <c r="J28" s="267">
        <v>54000000</v>
      </c>
      <c r="K28" s="267"/>
      <c r="L28" s="217"/>
      <c r="M28" s="267">
        <f>J28</f>
        <v>54000000</v>
      </c>
      <c r="N28" s="267"/>
    </row>
    <row r="29" spans="1:22" ht="27" customHeight="1">
      <c r="A29" s="220" t="s">
        <v>33</v>
      </c>
      <c r="B29" s="221" t="s">
        <v>44</v>
      </c>
      <c r="C29" s="221"/>
      <c r="D29" s="221"/>
      <c r="E29" s="221"/>
      <c r="F29" s="221"/>
      <c r="G29" s="221"/>
      <c r="H29" s="221"/>
      <c r="I29" s="222"/>
      <c r="J29" s="272">
        <f>ROUNDDOWN((J27-J28),-3)</f>
        <v>-14100000</v>
      </c>
      <c r="K29" s="272"/>
      <c r="L29" s="217"/>
      <c r="M29" s="267">
        <f>ROUNDDOWN((M27-M28),-3)</f>
        <v>-10775000</v>
      </c>
      <c r="N29" s="267"/>
    </row>
    <row r="30" spans="1:22" ht="27" customHeight="1">
      <c r="A30" s="163" t="s">
        <v>34</v>
      </c>
      <c r="B30" s="164" t="s">
        <v>45</v>
      </c>
      <c r="C30" s="164"/>
      <c r="D30" s="164"/>
      <c r="E30" s="164"/>
      <c r="F30" s="164"/>
      <c r="G30" s="164"/>
      <c r="H30" s="164"/>
      <c r="I30" s="168"/>
      <c r="J30" s="267"/>
      <c r="K30" s="267"/>
      <c r="L30" s="217"/>
      <c r="M30" s="271">
        <f>M29*5%</f>
        <v>-538750</v>
      </c>
      <c r="N30" s="271"/>
    </row>
    <row r="31" spans="1:22" ht="27" customHeight="1">
      <c r="A31" s="169" t="s">
        <v>35</v>
      </c>
      <c r="B31" s="170" t="s">
        <v>46</v>
      </c>
      <c r="C31" s="170"/>
      <c r="D31" s="170"/>
      <c r="E31" s="170"/>
      <c r="F31" s="170"/>
      <c r="G31" s="170"/>
      <c r="H31" s="170"/>
      <c r="I31" s="168"/>
      <c r="J31" s="269">
        <f>J29*5%</f>
        <v>-705000</v>
      </c>
      <c r="K31" s="269"/>
      <c r="L31" s="217"/>
      <c r="M31" s="269">
        <f>J31</f>
        <v>-705000</v>
      </c>
      <c r="N31" s="269"/>
    </row>
    <row r="32" spans="1:22" ht="27" customHeight="1">
      <c r="A32" s="163" t="s">
        <v>36</v>
      </c>
      <c r="B32" s="166" t="s">
        <v>47</v>
      </c>
      <c r="C32" s="171"/>
      <c r="D32" s="171"/>
      <c r="E32" s="171"/>
      <c r="F32" s="171"/>
      <c r="G32" s="171"/>
      <c r="H32" s="171"/>
      <c r="I32" s="172"/>
      <c r="J32" s="267"/>
      <c r="K32" s="267"/>
      <c r="L32" s="217"/>
      <c r="M32" s="267">
        <f>M30-M31</f>
        <v>166250</v>
      </c>
      <c r="N32" s="267"/>
    </row>
    <row r="33" spans="1:20" ht="27" customHeight="1">
      <c r="A33" s="165" t="s">
        <v>37</v>
      </c>
      <c r="B33" s="166" t="s">
        <v>51</v>
      </c>
      <c r="C33" s="171"/>
      <c r="D33" s="171"/>
      <c r="E33" s="171"/>
      <c r="F33" s="171"/>
      <c r="G33" s="171"/>
      <c r="H33" s="171"/>
      <c r="I33" s="172"/>
      <c r="J33" s="267">
        <f>J31/12</f>
        <v>-58750</v>
      </c>
      <c r="K33" s="267"/>
      <c r="L33" s="217"/>
      <c r="M33" s="267">
        <v>0</v>
      </c>
      <c r="N33" s="267"/>
    </row>
    <row r="34" spans="1:20" ht="27" customHeight="1">
      <c r="A34" s="165" t="s">
        <v>38</v>
      </c>
      <c r="B34" s="166" t="s">
        <v>52</v>
      </c>
      <c r="C34" s="171"/>
      <c r="D34" s="171"/>
      <c r="E34" s="171"/>
      <c r="F34" s="171"/>
      <c r="G34" s="171"/>
      <c r="H34" s="171"/>
      <c r="I34" s="172"/>
      <c r="J34" s="267">
        <v>0</v>
      </c>
      <c r="K34" s="267"/>
      <c r="L34" s="217"/>
      <c r="M34" s="267">
        <v>0</v>
      </c>
      <c r="N34" s="267"/>
    </row>
    <row r="35" spans="1:20" ht="27" customHeight="1">
      <c r="A35" s="165" t="s">
        <v>39</v>
      </c>
      <c r="B35" s="166" t="s">
        <v>53</v>
      </c>
      <c r="C35" s="171"/>
      <c r="D35" s="171"/>
      <c r="E35" s="171"/>
      <c r="F35" s="171"/>
      <c r="G35" s="171"/>
      <c r="H35" s="171"/>
      <c r="I35" s="172"/>
      <c r="J35" s="267">
        <v>0</v>
      </c>
      <c r="K35" s="267"/>
      <c r="L35" s="217"/>
      <c r="M35" s="267">
        <v>0</v>
      </c>
      <c r="N35" s="267"/>
    </row>
    <row r="36" spans="1:20" ht="27" customHeight="1">
      <c r="A36" s="169" t="s">
        <v>40</v>
      </c>
      <c r="B36" s="170" t="s">
        <v>54</v>
      </c>
      <c r="C36" s="173"/>
      <c r="D36" s="173"/>
      <c r="E36" s="173"/>
      <c r="F36" s="173"/>
      <c r="G36" s="173"/>
      <c r="H36" s="173"/>
      <c r="I36" s="172"/>
      <c r="J36" s="268">
        <f>SUM(J33:K35)</f>
        <v>-58750</v>
      </c>
      <c r="K36" s="268"/>
      <c r="L36" s="249"/>
      <c r="M36" s="304">
        <f>SUM(M32:N35)</f>
        <v>166250</v>
      </c>
      <c r="N36" s="304"/>
      <c r="O36" s="307" t="s">
        <v>241</v>
      </c>
      <c r="P36" s="307"/>
      <c r="Q36" s="307"/>
      <c r="R36" s="307"/>
      <c r="S36" s="307"/>
      <c r="T36" s="307"/>
    </row>
    <row r="37" spans="1:20" ht="27" customHeight="1">
      <c r="O37" s="307"/>
      <c r="P37" s="307"/>
      <c r="Q37" s="307"/>
      <c r="R37" s="307"/>
      <c r="S37" s="307"/>
      <c r="T37" s="307"/>
    </row>
  </sheetData>
  <mergeCells count="66">
    <mergeCell ref="P10:V15"/>
    <mergeCell ref="P16:V18"/>
    <mergeCell ref="O36:T37"/>
    <mergeCell ref="J6:N6"/>
    <mergeCell ref="A6:I7"/>
    <mergeCell ref="A3:N4"/>
    <mergeCell ref="J7:K7"/>
    <mergeCell ref="M7:N7"/>
    <mergeCell ref="J8:K8"/>
    <mergeCell ref="J9:K9"/>
    <mergeCell ref="J10:K10"/>
    <mergeCell ref="J11:K11"/>
    <mergeCell ref="M8:N8"/>
    <mergeCell ref="M9:N9"/>
    <mergeCell ref="M10:N10"/>
    <mergeCell ref="M11:N11"/>
    <mergeCell ref="M18:N18"/>
    <mergeCell ref="M12:N12"/>
    <mergeCell ref="J21:K21"/>
    <mergeCell ref="J22:K22"/>
    <mergeCell ref="J23:K23"/>
    <mergeCell ref="J15:K15"/>
    <mergeCell ref="J16:K16"/>
    <mergeCell ref="J17:K17"/>
    <mergeCell ref="J18:K18"/>
    <mergeCell ref="J19:K19"/>
    <mergeCell ref="J20:K20"/>
    <mergeCell ref="J12:K12"/>
    <mergeCell ref="J13:K13"/>
    <mergeCell ref="J14:K14"/>
    <mergeCell ref="M19:N19"/>
    <mergeCell ref="M20:N20"/>
    <mergeCell ref="M13:N13"/>
    <mergeCell ref="M14:N14"/>
    <mergeCell ref="M15:N15"/>
    <mergeCell ref="M16:N16"/>
    <mergeCell ref="M17:N17"/>
    <mergeCell ref="J33:K33"/>
    <mergeCell ref="M33:N33"/>
    <mergeCell ref="M21:N21"/>
    <mergeCell ref="M22:N22"/>
    <mergeCell ref="M23:N23"/>
    <mergeCell ref="M24:N24"/>
    <mergeCell ref="J24:K24"/>
    <mergeCell ref="J32:K32"/>
    <mergeCell ref="J25:K25"/>
    <mergeCell ref="J26:K26"/>
    <mergeCell ref="M32:N32"/>
    <mergeCell ref="J27:K27"/>
    <mergeCell ref="M27:N27"/>
    <mergeCell ref="M31:N31"/>
    <mergeCell ref="J28:K28"/>
    <mergeCell ref="J29:K29"/>
    <mergeCell ref="J30:K30"/>
    <mergeCell ref="J31:K31"/>
    <mergeCell ref="M25:N25"/>
    <mergeCell ref="M26:N26"/>
    <mergeCell ref="M28:N28"/>
    <mergeCell ref="M29:N29"/>
    <mergeCell ref="M30:N30"/>
    <mergeCell ref="J35:K35"/>
    <mergeCell ref="M35:N35"/>
    <mergeCell ref="J36:K36"/>
    <mergeCell ref="M36:N36"/>
    <mergeCell ref="J34:K34"/>
    <mergeCell ref="M34:N34"/>
  </mergeCells>
  <pageMargins left="0.31496062992125984" right="0.31496062992125984" top="0.55118110236220474" bottom="0.55118110236220474" header="0.31496062992125984" footer="0.31496062992125984"/>
  <pageSetup paperSize="9" scale="85" orientation="portrait" horizontalDpi="4294967293" verticalDpi="4294967293" r:id="rId1"/>
</worksheet>
</file>

<file path=xl/worksheets/sheet4.xml><?xml version="1.0" encoding="utf-8"?>
<worksheet xmlns="http://schemas.openxmlformats.org/spreadsheetml/2006/main" xmlns:r="http://schemas.openxmlformats.org/officeDocument/2006/relationships">
  <dimension ref="A1:R44"/>
  <sheetViews>
    <sheetView showGridLines="0" workbookViewId="0">
      <pane xSplit="3" ySplit="4" topLeftCell="D5" activePane="bottomRight" state="frozen"/>
      <selection pane="topRight" activeCell="D1" sqref="D1"/>
      <selection pane="bottomLeft" activeCell="A5" sqref="A5"/>
      <selection pane="bottomRight" activeCell="H20" sqref="H20"/>
    </sheetView>
  </sheetViews>
  <sheetFormatPr defaultRowHeight="15.75"/>
  <cols>
    <col min="1" max="1" width="4" style="29" customWidth="1"/>
    <col min="2" max="2" width="55.5" style="29" customWidth="1"/>
    <col min="3" max="3" width="3.375" style="29" customWidth="1"/>
    <col min="4" max="4" width="10.375" style="29" customWidth="1"/>
    <col min="5" max="5" width="3.25" style="29" customWidth="1"/>
    <col min="6" max="6" width="10.375" style="29" customWidth="1"/>
    <col min="7" max="7" width="3" style="29" customWidth="1"/>
    <col min="8" max="8" width="12.5" style="29" customWidth="1"/>
    <col min="9" max="9" width="2.5" style="29" customWidth="1"/>
    <col min="10" max="10" width="10.875" style="29" hidden="1" customWidth="1"/>
    <col min="11" max="11" width="2.5" style="29" customWidth="1"/>
    <col min="12" max="12" width="14" style="29" customWidth="1"/>
    <col min="13" max="13" width="3.125" style="29" customWidth="1"/>
    <col min="14" max="14" width="11.375" style="29" customWidth="1"/>
    <col min="15" max="15" width="2.375" style="33" customWidth="1"/>
    <col min="16" max="16" width="14.125" style="29" customWidth="1"/>
    <col min="17" max="17" width="3.25" style="33" customWidth="1"/>
    <col min="18" max="18" width="12" style="34" customWidth="1"/>
    <col min="19" max="16384" width="9" style="29"/>
  </cols>
  <sheetData>
    <row r="1" spans="1:18" ht="16.5">
      <c r="B1" s="282" t="s">
        <v>235</v>
      </c>
      <c r="C1" s="282"/>
      <c r="D1" s="282"/>
      <c r="E1" s="282"/>
      <c r="F1" s="282"/>
      <c r="G1" s="282"/>
      <c r="H1" s="282"/>
      <c r="I1" s="282"/>
      <c r="J1" s="282"/>
      <c r="K1" s="282"/>
      <c r="L1" s="282"/>
      <c r="M1" s="282"/>
      <c r="N1" s="282"/>
      <c r="O1" s="282"/>
      <c r="P1" s="282"/>
      <c r="Q1" s="282"/>
      <c r="R1" s="282"/>
    </row>
    <row r="2" spans="1:18" ht="7.5" customHeight="1">
      <c r="B2" s="30"/>
      <c r="D2" s="31"/>
      <c r="F2" s="32"/>
    </row>
    <row r="3" spans="1:18">
      <c r="A3" s="35"/>
      <c r="B3" s="36" t="s">
        <v>138</v>
      </c>
      <c r="C3" s="37" t="s">
        <v>139</v>
      </c>
      <c r="D3" s="38" t="s">
        <v>140</v>
      </c>
      <c r="E3" s="39"/>
      <c r="F3" s="38" t="s">
        <v>141</v>
      </c>
      <c r="G3" s="40"/>
      <c r="H3" s="283" t="s">
        <v>142</v>
      </c>
      <c r="I3" s="283"/>
      <c r="J3" s="283"/>
      <c r="K3" s="40"/>
      <c r="L3" s="40" t="s">
        <v>143</v>
      </c>
      <c r="M3" s="40"/>
      <c r="N3" s="40" t="s">
        <v>144</v>
      </c>
      <c r="O3" s="41"/>
      <c r="P3" s="40" t="s">
        <v>145</v>
      </c>
      <c r="Q3" s="41"/>
      <c r="R3" s="34" t="s">
        <v>146</v>
      </c>
    </row>
    <row r="4" spans="1:18">
      <c r="A4" s="42" t="s">
        <v>147</v>
      </c>
      <c r="B4" s="43" t="s">
        <v>71</v>
      </c>
      <c r="C4" s="34"/>
      <c r="D4" s="44"/>
      <c r="F4" s="44"/>
    </row>
    <row r="5" spans="1:18" ht="17.100000000000001" customHeight="1">
      <c r="A5" s="45" t="s">
        <v>5</v>
      </c>
      <c r="B5" s="46" t="s">
        <v>148</v>
      </c>
      <c r="C5" s="47" t="s">
        <v>149</v>
      </c>
      <c r="D5" s="48">
        <v>9250000</v>
      </c>
      <c r="E5" s="49"/>
      <c r="F5" s="48">
        <v>9250000</v>
      </c>
      <c r="G5" s="49"/>
      <c r="H5" s="48">
        <f>9250000+27750000</f>
        <v>37000000</v>
      </c>
      <c r="I5" s="50"/>
      <c r="J5" s="51">
        <f>H5*3</f>
        <v>111000000</v>
      </c>
      <c r="K5" s="50"/>
      <c r="L5" s="48">
        <v>9250000</v>
      </c>
      <c r="M5" s="49"/>
      <c r="N5" s="52">
        <v>7000000</v>
      </c>
      <c r="O5" s="150"/>
      <c r="P5" s="52">
        <v>7000000</v>
      </c>
      <c r="Q5" s="150"/>
      <c r="R5" s="151">
        <f>D5+F5+H5+L5+N5+P5</f>
        <v>78750000</v>
      </c>
    </row>
    <row r="6" spans="1:18" ht="17.100000000000001" customHeight="1">
      <c r="A6" s="45" t="s">
        <v>7</v>
      </c>
      <c r="B6" s="46" t="s">
        <v>150</v>
      </c>
      <c r="C6" s="47" t="s">
        <v>149</v>
      </c>
      <c r="D6" s="48">
        <v>0</v>
      </c>
      <c r="E6" s="49"/>
      <c r="F6" s="48">
        <v>0</v>
      </c>
      <c r="G6" s="49"/>
      <c r="H6" s="48">
        <v>0</v>
      </c>
      <c r="I6" s="50"/>
      <c r="J6" s="51">
        <f>H6*6</f>
        <v>0</v>
      </c>
      <c r="K6" s="50"/>
      <c r="L6" s="48">
        <v>0</v>
      </c>
      <c r="M6" s="49"/>
      <c r="N6" s="52">
        <v>0</v>
      </c>
      <c r="O6" s="150"/>
      <c r="P6" s="52"/>
      <c r="Q6" s="150"/>
      <c r="R6" s="151">
        <f t="shared" ref="R6:R11" si="0">D6+F6+H6+L6+N6+P6</f>
        <v>0</v>
      </c>
    </row>
    <row r="7" spans="1:18" ht="17.100000000000001" customHeight="1">
      <c r="A7" s="45" t="s">
        <v>9</v>
      </c>
      <c r="B7" s="229" t="s">
        <v>151</v>
      </c>
      <c r="C7" s="47" t="s">
        <v>149</v>
      </c>
      <c r="D7" s="48">
        <v>0</v>
      </c>
      <c r="E7" s="49"/>
      <c r="F7" s="48">
        <v>0</v>
      </c>
      <c r="G7" s="49"/>
      <c r="H7" s="48">
        <v>0</v>
      </c>
      <c r="I7" s="50"/>
      <c r="J7" s="51">
        <f>H7*6</f>
        <v>0</v>
      </c>
      <c r="K7" s="50"/>
      <c r="L7" s="226">
        <v>0</v>
      </c>
      <c r="M7" s="49"/>
      <c r="N7" s="253">
        <v>700000</v>
      </c>
      <c r="O7" s="150"/>
      <c r="P7" s="254">
        <v>700000</v>
      </c>
      <c r="Q7" s="150"/>
      <c r="R7" s="151">
        <f t="shared" si="0"/>
        <v>1400000</v>
      </c>
    </row>
    <row r="8" spans="1:18" ht="17.100000000000001" customHeight="1">
      <c r="A8" s="45" t="s">
        <v>11</v>
      </c>
      <c r="B8" s="46" t="s">
        <v>152</v>
      </c>
      <c r="C8" s="47" t="s">
        <v>149</v>
      </c>
      <c r="D8" s="48">
        <v>0</v>
      </c>
      <c r="E8" s="49"/>
      <c r="F8" s="48">
        <v>0</v>
      </c>
      <c r="G8" s="49"/>
      <c r="H8" s="48">
        <v>0</v>
      </c>
      <c r="I8" s="50"/>
      <c r="J8" s="51">
        <f>H8*6</f>
        <v>0</v>
      </c>
      <c r="K8" s="50"/>
      <c r="L8" s="48">
        <v>0</v>
      </c>
      <c r="M8" s="49"/>
      <c r="N8" s="52"/>
      <c r="O8" s="150"/>
      <c r="P8" s="52"/>
      <c r="Q8" s="150"/>
      <c r="R8" s="151">
        <f t="shared" si="0"/>
        <v>0</v>
      </c>
    </row>
    <row r="9" spans="1:18" ht="17.100000000000001" customHeight="1">
      <c r="A9" s="250" t="s">
        <v>13</v>
      </c>
      <c r="B9" s="251" t="s">
        <v>153</v>
      </c>
      <c r="C9" s="47" t="s">
        <v>149</v>
      </c>
      <c r="D9" s="252">
        <v>0</v>
      </c>
      <c r="E9" s="49"/>
      <c r="F9" s="48">
        <v>0</v>
      </c>
      <c r="G9" s="49"/>
      <c r="H9" s="48">
        <v>0</v>
      </c>
      <c r="I9" s="50"/>
      <c r="J9" s="51">
        <f>H9*6</f>
        <v>0</v>
      </c>
      <c r="K9" s="50"/>
      <c r="L9" s="48">
        <v>0</v>
      </c>
      <c r="M9" s="49"/>
      <c r="N9" s="52">
        <v>42000</v>
      </c>
      <c r="O9" s="150"/>
      <c r="P9" s="52">
        <v>42000</v>
      </c>
      <c r="Q9" s="150"/>
      <c r="R9" s="151">
        <f t="shared" si="0"/>
        <v>84000</v>
      </c>
    </row>
    <row r="10" spans="1:18" ht="17.100000000000001" customHeight="1">
      <c r="A10" s="45" t="s">
        <v>15</v>
      </c>
      <c r="B10" s="46" t="s">
        <v>154</v>
      </c>
      <c r="C10" s="47" t="s">
        <v>149</v>
      </c>
      <c r="D10" s="48">
        <v>0</v>
      </c>
      <c r="E10" s="49"/>
      <c r="F10" s="48">
        <v>0</v>
      </c>
      <c r="G10" s="49"/>
      <c r="H10" s="48">
        <v>0</v>
      </c>
      <c r="I10" s="50"/>
      <c r="J10" s="51">
        <f>H10*6</f>
        <v>0</v>
      </c>
      <c r="K10" s="50"/>
      <c r="L10" s="48">
        <v>0</v>
      </c>
      <c r="M10" s="49"/>
      <c r="N10" s="52"/>
      <c r="O10" s="150"/>
      <c r="P10" s="52"/>
      <c r="Q10" s="150"/>
      <c r="R10" s="151">
        <f t="shared" si="0"/>
        <v>0</v>
      </c>
    </row>
    <row r="11" spans="1:18" ht="17.100000000000001" customHeight="1">
      <c r="A11" s="45"/>
      <c r="B11" s="46" t="s">
        <v>155</v>
      </c>
      <c r="C11" s="47"/>
      <c r="D11" s="48">
        <f>SUM(D5:D10)</f>
        <v>9250000</v>
      </c>
      <c r="E11" s="48"/>
      <c r="F11" s="48">
        <f>SUM(F5:F10)</f>
        <v>9250000</v>
      </c>
      <c r="G11" s="48"/>
      <c r="H11" s="48">
        <f>SUM(H5:H10)</f>
        <v>37000000</v>
      </c>
      <c r="I11" s="50"/>
      <c r="J11" s="51">
        <f>SUM(J5:J10)</f>
        <v>111000000</v>
      </c>
      <c r="K11" s="50"/>
      <c r="L11" s="48">
        <f>SUM(L5:L10)</f>
        <v>9250000</v>
      </c>
      <c r="M11" s="48"/>
      <c r="N11" s="52">
        <f>SUM(N5:N10)</f>
        <v>7742000</v>
      </c>
      <c r="O11" s="52"/>
      <c r="P11" s="52">
        <f>SUM(P5:P10)</f>
        <v>7742000</v>
      </c>
      <c r="Q11" s="150"/>
      <c r="R11" s="151">
        <f t="shared" si="0"/>
        <v>80234000</v>
      </c>
    </row>
    <row r="12" spans="1:18" ht="17.100000000000001" customHeight="1">
      <c r="A12" s="45" t="s">
        <v>16</v>
      </c>
      <c r="B12" s="229" t="s">
        <v>156</v>
      </c>
      <c r="C12" s="47" t="s">
        <v>149</v>
      </c>
      <c r="D12" s="48">
        <v>0</v>
      </c>
      <c r="E12" s="49"/>
      <c r="F12" s="48">
        <v>0</v>
      </c>
      <c r="G12" s="49"/>
      <c r="H12" s="48">
        <v>0</v>
      </c>
      <c r="I12" s="50"/>
      <c r="J12" s="53">
        <v>0</v>
      </c>
      <c r="K12" s="50"/>
      <c r="L12" s="48">
        <v>0</v>
      </c>
      <c r="M12" s="49"/>
      <c r="N12" s="52">
        <v>0</v>
      </c>
      <c r="O12" s="150"/>
      <c r="P12" s="52">
        <v>0</v>
      </c>
      <c r="Q12" s="150"/>
      <c r="R12" s="151">
        <f>D12+F12+H12+J12+L12+N12+P12</f>
        <v>0</v>
      </c>
    </row>
    <row r="13" spans="1:18" ht="17.100000000000001" customHeight="1">
      <c r="A13" s="54" t="s">
        <v>19</v>
      </c>
      <c r="B13" s="55" t="s">
        <v>157</v>
      </c>
      <c r="C13" s="56" t="s">
        <v>149</v>
      </c>
      <c r="D13" s="52">
        <f>D11+D12</f>
        <v>9250000</v>
      </c>
      <c r="E13" s="52"/>
      <c r="F13" s="52">
        <f>F11+F12</f>
        <v>9250000</v>
      </c>
      <c r="G13" s="52"/>
      <c r="H13" s="52">
        <f>H11+H12</f>
        <v>37000000</v>
      </c>
      <c r="I13" s="50"/>
      <c r="J13" s="51">
        <f>SUM(J11:J12)</f>
        <v>111000000</v>
      </c>
      <c r="K13" s="50"/>
      <c r="L13" s="52">
        <f>L11+L12</f>
        <v>9250000</v>
      </c>
      <c r="M13" s="52"/>
      <c r="N13" s="52">
        <f>N11+N12</f>
        <v>7742000</v>
      </c>
      <c r="O13" s="52"/>
      <c r="P13" s="52">
        <f>P11+P12</f>
        <v>7742000</v>
      </c>
      <c r="Q13" s="150"/>
      <c r="R13" s="151">
        <f>R11+R12</f>
        <v>80234000</v>
      </c>
    </row>
    <row r="14" spans="1:18" ht="7.5" customHeight="1">
      <c r="A14" s="57"/>
      <c r="B14" s="58"/>
      <c r="C14" s="59"/>
      <c r="D14" s="60"/>
      <c r="E14" s="60"/>
      <c r="F14" s="60"/>
      <c r="G14" s="60"/>
      <c r="H14" s="60"/>
      <c r="I14" s="61"/>
      <c r="J14" s="62"/>
      <c r="K14" s="61"/>
      <c r="L14" s="60"/>
      <c r="M14" s="60"/>
      <c r="N14" s="60"/>
      <c r="O14" s="60"/>
      <c r="P14" s="60"/>
      <c r="Q14" s="152"/>
      <c r="R14" s="153"/>
    </row>
    <row r="15" spans="1:18" ht="17.100000000000001" customHeight="1">
      <c r="A15" s="63" t="s">
        <v>158</v>
      </c>
      <c r="B15" s="64" t="s">
        <v>159</v>
      </c>
      <c r="C15" s="65"/>
      <c r="D15" s="66"/>
      <c r="E15" s="67"/>
      <c r="F15" s="66"/>
      <c r="G15" s="67"/>
      <c r="H15" s="66"/>
      <c r="I15" s="68"/>
      <c r="J15" s="69"/>
      <c r="K15" s="68"/>
      <c r="L15" s="66"/>
      <c r="M15" s="67"/>
      <c r="N15" s="66"/>
      <c r="O15" s="154"/>
      <c r="P15" s="66"/>
      <c r="Q15" s="154"/>
      <c r="R15" s="155"/>
    </row>
    <row r="16" spans="1:18" ht="17.100000000000001" customHeight="1">
      <c r="A16" s="54" t="s">
        <v>160</v>
      </c>
      <c r="B16" s="70" t="s">
        <v>161</v>
      </c>
      <c r="C16" s="47" t="s">
        <v>149</v>
      </c>
      <c r="D16" s="52">
        <f>IF((D13*5%)&lt;=500000,D13*5%,500000)</f>
        <v>462500</v>
      </c>
      <c r="E16" s="49"/>
      <c r="F16" s="52">
        <f>IF((F13*5%)&lt;=500000,F13*5%,500000)</f>
        <v>462500</v>
      </c>
      <c r="G16" s="49"/>
      <c r="H16" s="52">
        <f>IF((H13*5%)&lt;=500000,H13*5%,500000)</f>
        <v>500000</v>
      </c>
      <c r="I16" s="50"/>
      <c r="J16" s="51">
        <f>IF((J11*5%)&lt;=6000000,J11*5%,6000000)</f>
        <v>5550000</v>
      </c>
      <c r="K16" s="50"/>
      <c r="L16" s="52">
        <f>IF((L13*5%)&lt;=500000,L13*5%,500000)</f>
        <v>462500</v>
      </c>
      <c r="M16" s="49"/>
      <c r="N16" s="227">
        <f>IF((N13*5%)&lt;=500000,N13*5%,500000)</f>
        <v>387100</v>
      </c>
      <c r="O16" s="150"/>
      <c r="P16" s="228">
        <f>IF((P13*5%)&lt;=500000,P13*5%,500000)</f>
        <v>387100</v>
      </c>
      <c r="Q16" s="150"/>
      <c r="R16" s="151">
        <f>D16+F16+H16+L16+N16+P16</f>
        <v>2661700</v>
      </c>
    </row>
    <row r="17" spans="1:18" ht="17.100000000000001" customHeight="1">
      <c r="A17" s="54" t="s">
        <v>162</v>
      </c>
      <c r="B17" s="70" t="s">
        <v>163</v>
      </c>
      <c r="C17" s="47" t="s">
        <v>149</v>
      </c>
      <c r="D17" s="52">
        <v>0</v>
      </c>
      <c r="E17" s="49"/>
      <c r="F17" s="52">
        <v>0</v>
      </c>
      <c r="G17" s="49"/>
      <c r="H17" s="52">
        <v>0</v>
      </c>
      <c r="I17" s="50"/>
      <c r="J17" s="53">
        <f>J12*5%</f>
        <v>0</v>
      </c>
      <c r="K17" s="50"/>
      <c r="L17" s="52">
        <v>0</v>
      </c>
      <c r="M17" s="49"/>
      <c r="N17" s="227">
        <v>0</v>
      </c>
      <c r="O17" s="150"/>
      <c r="P17" s="228">
        <v>0</v>
      </c>
      <c r="Q17" s="150"/>
      <c r="R17" s="151">
        <f>D17+F17+H17+J17+L17+N17+P17</f>
        <v>0</v>
      </c>
    </row>
    <row r="18" spans="1:18" ht="17.100000000000001" customHeight="1">
      <c r="A18" s="54" t="s">
        <v>21</v>
      </c>
      <c r="B18" s="232" t="s">
        <v>164</v>
      </c>
      <c r="C18" s="47" t="s">
        <v>149</v>
      </c>
      <c r="D18" s="52">
        <f>D16+D17</f>
        <v>462500</v>
      </c>
      <c r="E18" s="49"/>
      <c r="F18" s="52">
        <f>F16+F17</f>
        <v>462500</v>
      </c>
      <c r="G18" s="49"/>
      <c r="H18" s="52">
        <f>H16+H17</f>
        <v>500000</v>
      </c>
      <c r="I18" s="50"/>
      <c r="J18" s="51">
        <f>SUM(J16:J17)</f>
        <v>5550000</v>
      </c>
      <c r="K18" s="50"/>
      <c r="L18" s="52">
        <f>L16+L17</f>
        <v>462500</v>
      </c>
      <c r="M18" s="49"/>
      <c r="N18" s="227">
        <f>N16+N17</f>
        <v>387100</v>
      </c>
      <c r="O18" s="150"/>
      <c r="P18" s="228">
        <f>P16+P17</f>
        <v>387100</v>
      </c>
      <c r="Q18" s="150"/>
      <c r="R18" s="151">
        <f>R16+R17</f>
        <v>2661700</v>
      </c>
    </row>
    <row r="19" spans="1:18" ht="17.100000000000001" customHeight="1">
      <c r="A19" s="54" t="s">
        <v>24</v>
      </c>
      <c r="B19" s="70" t="s">
        <v>165</v>
      </c>
      <c r="C19" s="47" t="s">
        <v>149</v>
      </c>
      <c r="D19" s="48">
        <v>0</v>
      </c>
      <c r="E19" s="49"/>
      <c r="F19" s="48">
        <v>0</v>
      </c>
      <c r="G19" s="49"/>
      <c r="H19" s="48">
        <v>0</v>
      </c>
      <c r="I19" s="50"/>
      <c r="J19" s="51">
        <f>H19*6</f>
        <v>0</v>
      </c>
      <c r="K19" s="50"/>
      <c r="L19" s="48">
        <v>0</v>
      </c>
      <c r="M19" s="49"/>
      <c r="N19" s="227">
        <v>80000</v>
      </c>
      <c r="O19" s="150"/>
      <c r="P19" s="228">
        <v>80000</v>
      </c>
      <c r="Q19" s="150"/>
      <c r="R19" s="151">
        <f>D19+F19+H19+L19+N19+P19</f>
        <v>160000</v>
      </c>
    </row>
    <row r="20" spans="1:18" ht="17.100000000000001" customHeight="1">
      <c r="A20" s="54" t="s">
        <v>25</v>
      </c>
      <c r="B20" s="55" t="s">
        <v>166</v>
      </c>
      <c r="C20" s="56" t="s">
        <v>149</v>
      </c>
      <c r="D20" s="52">
        <f>D18+D19</f>
        <v>462500</v>
      </c>
      <c r="E20" s="71"/>
      <c r="F20" s="52">
        <f>F18+F19</f>
        <v>462500</v>
      </c>
      <c r="G20" s="49"/>
      <c r="H20" s="52">
        <f>H18+H19</f>
        <v>500000</v>
      </c>
      <c r="I20" s="50"/>
      <c r="J20" s="51">
        <f>SUM(J18:J19)</f>
        <v>5550000</v>
      </c>
      <c r="K20" s="50"/>
      <c r="L20" s="52">
        <f>L18+L19</f>
        <v>462500</v>
      </c>
      <c r="M20" s="49"/>
      <c r="N20" s="228">
        <f>N18+N19</f>
        <v>467100</v>
      </c>
      <c r="O20" s="150"/>
      <c r="P20" s="228">
        <f>P18+P19</f>
        <v>467100</v>
      </c>
      <c r="Q20" s="150"/>
      <c r="R20" s="151">
        <f>R18+R19</f>
        <v>2821700</v>
      </c>
    </row>
    <row r="21" spans="1:18" ht="7.5" customHeight="1">
      <c r="A21" s="57"/>
      <c r="B21" s="58"/>
      <c r="C21" s="59"/>
      <c r="D21" s="60"/>
      <c r="E21" s="72"/>
      <c r="F21" s="60"/>
      <c r="G21" s="72"/>
      <c r="H21" s="60"/>
      <c r="I21" s="61"/>
      <c r="J21" s="62"/>
      <c r="K21" s="61"/>
      <c r="L21" s="60"/>
      <c r="M21" s="72"/>
      <c r="N21" s="139"/>
      <c r="O21" s="141"/>
      <c r="P21" s="139"/>
      <c r="Q21" s="102"/>
      <c r="R21" s="153"/>
    </row>
    <row r="22" spans="1:18" ht="17.100000000000001" customHeight="1">
      <c r="A22" s="73" t="s">
        <v>167</v>
      </c>
      <c r="B22" s="64" t="s">
        <v>80</v>
      </c>
      <c r="C22" s="74"/>
      <c r="D22" s="75"/>
      <c r="E22" s="67"/>
      <c r="F22" s="75"/>
      <c r="G22" s="67"/>
      <c r="H22" s="75"/>
      <c r="I22" s="68"/>
      <c r="J22" s="69"/>
      <c r="K22" s="68"/>
      <c r="L22" s="75"/>
      <c r="M22" s="67"/>
      <c r="N22" s="219"/>
      <c r="O22" s="140"/>
      <c r="P22" s="219"/>
      <c r="Q22" s="103"/>
      <c r="R22" s="155"/>
    </row>
    <row r="23" spans="1:18" ht="17.100000000000001" customHeight="1">
      <c r="A23" s="54" t="s">
        <v>26</v>
      </c>
      <c r="B23" s="126" t="s">
        <v>168</v>
      </c>
      <c r="C23" s="56" t="s">
        <v>149</v>
      </c>
      <c r="D23" s="127">
        <f>D13-D20</f>
        <v>8787500</v>
      </c>
      <c r="E23" s="76" t="s">
        <v>169</v>
      </c>
      <c r="F23" s="127">
        <f>F13-F20</f>
        <v>8787500</v>
      </c>
      <c r="G23" s="76" t="s">
        <v>169</v>
      </c>
      <c r="H23" s="127">
        <f>H13-H20</f>
        <v>36500000</v>
      </c>
      <c r="I23" s="76" t="s">
        <v>169</v>
      </c>
      <c r="J23" s="128">
        <f>J12-J17</f>
        <v>0</v>
      </c>
      <c r="K23" s="76" t="s">
        <v>169</v>
      </c>
      <c r="L23" s="127">
        <f>L13-L20</f>
        <v>8787500</v>
      </c>
      <c r="M23" s="76" t="s">
        <v>169</v>
      </c>
      <c r="N23" s="227">
        <f>N13-N20</f>
        <v>7274900</v>
      </c>
      <c r="O23" s="138" t="s">
        <v>169</v>
      </c>
      <c r="P23" s="228">
        <f>P13-P20</f>
        <v>7274900</v>
      </c>
      <c r="Q23" s="138" t="s">
        <v>169</v>
      </c>
      <c r="R23" s="151">
        <f>D23+F23+H23+J23+L23+N23+P23</f>
        <v>77412300</v>
      </c>
    </row>
    <row r="24" spans="1:18" ht="17.100000000000001" customHeight="1">
      <c r="A24" s="54" t="s">
        <v>28</v>
      </c>
      <c r="B24" s="77" t="s">
        <v>170</v>
      </c>
      <c r="C24" s="56"/>
      <c r="D24" s="52">
        <v>0</v>
      </c>
      <c r="E24" s="78"/>
      <c r="F24" s="52"/>
      <c r="G24" s="49"/>
      <c r="H24" s="52"/>
      <c r="I24" s="50"/>
      <c r="J24" s="53"/>
      <c r="K24" s="50"/>
      <c r="L24" s="52"/>
      <c r="M24" s="49"/>
      <c r="N24" s="228"/>
      <c r="O24" s="150"/>
      <c r="P24" s="218"/>
      <c r="Q24" s="150"/>
      <c r="R24" s="151"/>
    </row>
    <row r="25" spans="1:18" ht="17.100000000000001" customHeight="1">
      <c r="A25" s="54" t="s">
        <v>31</v>
      </c>
      <c r="B25" s="70" t="s">
        <v>171</v>
      </c>
      <c r="C25" s="47" t="s">
        <v>149</v>
      </c>
      <c r="D25" s="143">
        <f>D23*12</f>
        <v>105450000</v>
      </c>
      <c r="E25" s="144"/>
      <c r="F25" s="143">
        <f>F23*12</f>
        <v>105450000</v>
      </c>
      <c r="G25" s="144"/>
      <c r="H25" s="143">
        <f>H23*12</f>
        <v>438000000</v>
      </c>
      <c r="I25" s="145"/>
      <c r="J25" s="146">
        <f>J13-J20</f>
        <v>105450000</v>
      </c>
      <c r="K25" s="50"/>
      <c r="L25" s="48">
        <f>L23*12</f>
        <v>105450000</v>
      </c>
      <c r="M25" s="49"/>
      <c r="N25" s="228">
        <f>N23*6</f>
        <v>43649400</v>
      </c>
      <c r="O25" s="150"/>
      <c r="P25" s="228">
        <f>D23+F23+H23+J23+L23+N23+P23</f>
        <v>77412300</v>
      </c>
      <c r="Q25" s="138" t="s">
        <v>169</v>
      </c>
      <c r="R25" s="151">
        <f>R13-R20</f>
        <v>77412300</v>
      </c>
    </row>
    <row r="26" spans="1:18" ht="17.100000000000001" customHeight="1">
      <c r="A26" s="54" t="s">
        <v>32</v>
      </c>
      <c r="B26" s="70" t="s">
        <v>172</v>
      </c>
      <c r="C26" s="47" t="s">
        <v>149</v>
      </c>
      <c r="D26" s="143">
        <v>58500000</v>
      </c>
      <c r="E26" s="144"/>
      <c r="F26" s="143">
        <v>58500000</v>
      </c>
      <c r="G26" s="144"/>
      <c r="H26" s="143">
        <v>58500000</v>
      </c>
      <c r="I26" s="145"/>
      <c r="J26" s="143">
        <v>58500000</v>
      </c>
      <c r="K26" s="50"/>
      <c r="L26" s="48">
        <v>36000000</v>
      </c>
      <c r="M26" s="49"/>
      <c r="N26" s="228">
        <v>36000000</v>
      </c>
      <c r="O26" s="150"/>
      <c r="P26" s="228">
        <v>36000000</v>
      </c>
      <c r="Q26" s="150"/>
      <c r="R26" s="151">
        <f>P26</f>
        <v>36000000</v>
      </c>
    </row>
    <row r="27" spans="1:18" ht="17.100000000000001" customHeight="1">
      <c r="A27" s="54" t="s">
        <v>33</v>
      </c>
      <c r="B27" s="70" t="s">
        <v>173</v>
      </c>
      <c r="C27" s="47" t="s">
        <v>149</v>
      </c>
      <c r="D27" s="48">
        <f>ROUNDDOWN((D25-D26),-3)</f>
        <v>46950000</v>
      </c>
      <c r="E27" s="49"/>
      <c r="F27" s="48">
        <f>ROUNDDOWN((F25-F26),-3)</f>
        <v>46950000</v>
      </c>
      <c r="G27" s="49"/>
      <c r="H27" s="48">
        <f>ROUNDDOWN((H25-H26),-3)</f>
        <v>379500000</v>
      </c>
      <c r="I27" s="50"/>
      <c r="J27" s="48">
        <f>ROUNDDOWN((J25-J26),-3)</f>
        <v>46950000</v>
      </c>
      <c r="K27" s="50"/>
      <c r="L27" s="48">
        <f>ROUNDDOWN((L25-L26),-3)</f>
        <v>69450000</v>
      </c>
      <c r="M27" s="49"/>
      <c r="N27" s="228">
        <f>ROUNDDOWN((N25-N26),-3)</f>
        <v>7649000</v>
      </c>
      <c r="O27" s="150"/>
      <c r="P27" s="228">
        <f>ROUNDDOWN((P25-P26),-3)</f>
        <v>41412000</v>
      </c>
      <c r="Q27" s="150"/>
      <c r="R27" s="52">
        <f>ROUNDDOWN((R25-R26),-3)</f>
        <v>41412000</v>
      </c>
    </row>
    <row r="28" spans="1:18" ht="17.100000000000001" customHeight="1">
      <c r="A28" s="54" t="s">
        <v>34</v>
      </c>
      <c r="B28" s="229" t="s">
        <v>174</v>
      </c>
      <c r="C28" s="47" t="s">
        <v>149</v>
      </c>
      <c r="D28" s="52">
        <f>(IF(D27&lt;=50000000,D27*5%,IF(D27&lt;=250000000,(D27-50000000)*15%+2500000,IF(D27&lt;=500000000,(D27-250000000)*25%+32500000,(D27-500000000)*30%+95000000))))</f>
        <v>2347500</v>
      </c>
      <c r="E28" s="49"/>
      <c r="F28" s="52">
        <f>(IF(F27&lt;=50000000,F27*5%,IF(F27&lt;=250000000,(F27-50000000)*15%+2500000,IF(F27&lt;=500000000,(F27-250000000)*25%+32500000,(F27-500000000)*30%+95000000))))</f>
        <v>2347500</v>
      </c>
      <c r="G28" s="49"/>
      <c r="H28" s="79">
        <f>(IF(H27&lt;=50000000,H27*5%,IF(H27&lt;=250000000,(H27-50000000)*15%+2500000,IF(H27&lt;=500000000,(H27-250000000)*25%+32500000,(H27-500000000)*30%+95000000))))</f>
        <v>64875000</v>
      </c>
      <c r="I28" s="50"/>
      <c r="J28" s="52">
        <f>(IF(J27&lt;=50000000,J27*5%,IF(J27&lt;=250000000,(J27-50000000)*15%+2500000,IF(J27&lt;=500000000,(J27-250000000)*25%+32500000,(J27-500000000)*30%+95000000))))</f>
        <v>2347500</v>
      </c>
      <c r="K28" s="50"/>
      <c r="L28" s="52">
        <f>(IF(L27&lt;=50000000,L27*5%,IF(L27&lt;=250000000,(L27-50000000)*15%+2500000,IF(L27&lt;=500000000,(L27-250000000)*25%+32500000,(L27-500000000)*30%+95000000))))</f>
        <v>5417500</v>
      </c>
      <c r="M28" s="49"/>
      <c r="N28" s="228">
        <f>(IF(N27&lt;=50000000,N27*5%,IF(N27&lt;=250000000,(N27-50000000)*15%+2500000,IF(N27&lt;=500000000,(N27-250000000)*25%+32500000,(N27-500000000)*30%+95000000))))</f>
        <v>382450</v>
      </c>
      <c r="O28" s="150"/>
      <c r="P28" s="228">
        <f>(IF(P27&lt;=50000000,P27*5%,IF(P27&lt;=250000000,(P27-50000000)*15%+2500000,IF(P27&lt;=500000000,(P27-250000000)*25%+32500000,(P27-500000000)*30%+95000000))))</f>
        <v>2070600</v>
      </c>
      <c r="Q28" s="150"/>
      <c r="R28" s="52">
        <f>(IF(R27&lt;=50000000,R27*5%,IF(R27&lt;=250000000,(R27-50000000)*15%+2500000,IF(R27&lt;=500000000,(R27-250000000)*25%+32500000,(R27-500000000)*30%+95000000))))</f>
        <v>2070600</v>
      </c>
    </row>
    <row r="29" spans="1:18" ht="17.100000000000001" customHeight="1">
      <c r="A29" s="54" t="s">
        <v>35</v>
      </c>
      <c r="B29" s="77" t="s">
        <v>175</v>
      </c>
      <c r="C29" s="47" t="s">
        <v>149</v>
      </c>
      <c r="D29" s="52">
        <v>0</v>
      </c>
      <c r="E29" s="49"/>
      <c r="F29" s="52">
        <v>0</v>
      </c>
      <c r="G29" s="49"/>
      <c r="H29" s="52">
        <v>0</v>
      </c>
      <c r="I29" s="50"/>
      <c r="J29" s="52">
        <v>0</v>
      </c>
      <c r="K29" s="50"/>
      <c r="L29" s="52">
        <v>0</v>
      </c>
      <c r="M29" s="49"/>
      <c r="N29" s="228">
        <v>0</v>
      </c>
      <c r="O29" s="150"/>
      <c r="P29" s="228">
        <v>0</v>
      </c>
      <c r="Q29" s="150"/>
      <c r="R29" s="183"/>
    </row>
    <row r="30" spans="1:18" ht="17.100000000000001" customHeight="1">
      <c r="A30" s="54" t="s">
        <v>36</v>
      </c>
      <c r="B30" s="70" t="s">
        <v>176</v>
      </c>
      <c r="C30" s="47" t="s">
        <v>149</v>
      </c>
      <c r="D30" s="52">
        <f>D28+D29</f>
        <v>2347500</v>
      </c>
      <c r="E30" s="49"/>
      <c r="F30" s="52">
        <f>F28+F29</f>
        <v>2347500</v>
      </c>
      <c r="G30" s="49"/>
      <c r="H30" s="52">
        <f>H28+H29</f>
        <v>64875000</v>
      </c>
      <c r="I30" s="50"/>
      <c r="J30" s="52">
        <f>J28+J29</f>
        <v>2347500</v>
      </c>
      <c r="K30" s="50"/>
      <c r="L30" s="52">
        <f>L28+L29</f>
        <v>5417500</v>
      </c>
      <c r="M30" s="49"/>
      <c r="N30" s="228">
        <f>N28+N29</f>
        <v>382450</v>
      </c>
      <c r="O30" s="150"/>
      <c r="P30" s="228">
        <f>P28+P29</f>
        <v>2070600</v>
      </c>
      <c r="Q30" s="150"/>
      <c r="R30" s="183"/>
    </row>
    <row r="31" spans="1:18" ht="17.100000000000001" customHeight="1">
      <c r="A31" s="54" t="s">
        <v>37</v>
      </c>
      <c r="B31" s="70" t="s">
        <v>177</v>
      </c>
      <c r="C31" s="47" t="s">
        <v>149</v>
      </c>
      <c r="D31" s="52">
        <v>0</v>
      </c>
      <c r="E31" s="49"/>
      <c r="F31" s="52"/>
      <c r="G31" s="49"/>
      <c r="H31" s="52"/>
      <c r="I31" s="50"/>
      <c r="J31" s="51">
        <f>H28</f>
        <v>64875000</v>
      </c>
      <c r="K31" s="50"/>
      <c r="L31" s="52"/>
      <c r="M31" s="49"/>
      <c r="N31" s="228"/>
      <c r="O31" s="150"/>
      <c r="P31" s="228"/>
      <c r="Q31" s="150"/>
      <c r="R31" s="184"/>
    </row>
    <row r="32" spans="1:18" ht="9" customHeight="1">
      <c r="A32" s="57"/>
      <c r="B32" s="80"/>
      <c r="C32" s="59"/>
      <c r="D32" s="60"/>
      <c r="E32" s="72"/>
      <c r="F32" s="60"/>
      <c r="G32" s="72"/>
      <c r="H32" s="60"/>
      <c r="I32" s="61"/>
      <c r="J32" s="62"/>
      <c r="K32" s="61"/>
      <c r="L32" s="60"/>
      <c r="M32" s="72"/>
      <c r="N32" s="139"/>
      <c r="O32" s="152"/>
      <c r="P32" s="230"/>
      <c r="Q32" s="152"/>
      <c r="R32" s="185"/>
    </row>
    <row r="33" spans="1:18" ht="17.100000000000001" customHeight="1">
      <c r="A33" s="73" t="s">
        <v>178</v>
      </c>
      <c r="B33" s="64" t="s">
        <v>179</v>
      </c>
      <c r="C33" s="74"/>
      <c r="D33" s="66"/>
      <c r="E33" s="67"/>
      <c r="F33" s="66"/>
      <c r="G33" s="67"/>
      <c r="H33" s="66"/>
      <c r="I33" s="68"/>
      <c r="J33" s="69"/>
      <c r="K33" s="68"/>
      <c r="L33" s="66"/>
      <c r="M33" s="67"/>
      <c r="N33" s="219"/>
      <c r="O33" s="154"/>
      <c r="P33" s="231"/>
      <c r="Q33" s="154"/>
      <c r="R33" s="186"/>
    </row>
    <row r="34" spans="1:18" ht="17.100000000000001" customHeight="1">
      <c r="A34" s="54" t="s">
        <v>38</v>
      </c>
      <c r="B34" s="70" t="s">
        <v>51</v>
      </c>
      <c r="C34" s="47" t="s">
        <v>149</v>
      </c>
      <c r="D34" s="48">
        <f>D28/6</f>
        <v>391250</v>
      </c>
      <c r="E34" s="49"/>
      <c r="F34" s="48">
        <f>F28/6</f>
        <v>391250</v>
      </c>
      <c r="G34" s="49"/>
      <c r="H34" s="48">
        <f>H28/6</f>
        <v>10812500</v>
      </c>
      <c r="I34" s="50"/>
      <c r="J34" s="53">
        <v>0</v>
      </c>
      <c r="K34" s="50"/>
      <c r="L34" s="48">
        <f>L28/6</f>
        <v>902916.66666666663</v>
      </c>
      <c r="M34" s="49"/>
      <c r="N34" s="228">
        <f>N28/6</f>
        <v>63741.666666666664</v>
      </c>
      <c r="O34" s="150"/>
      <c r="P34" s="228"/>
      <c r="Q34" s="150"/>
      <c r="R34" s="184"/>
    </row>
    <row r="35" spans="1:18" ht="17.100000000000001" customHeight="1">
      <c r="A35" s="54" t="s">
        <v>39</v>
      </c>
      <c r="B35" s="70" t="s">
        <v>180</v>
      </c>
      <c r="C35" s="47" t="s">
        <v>149</v>
      </c>
      <c r="D35" s="52">
        <v>0</v>
      </c>
      <c r="E35" s="49"/>
      <c r="F35" s="52">
        <v>0</v>
      </c>
      <c r="G35" s="49"/>
      <c r="H35" s="52">
        <v>0</v>
      </c>
      <c r="I35" s="50"/>
      <c r="J35" s="53">
        <v>0</v>
      </c>
      <c r="K35" s="50"/>
      <c r="L35" s="52">
        <v>0</v>
      </c>
      <c r="M35" s="49"/>
      <c r="N35" s="228">
        <v>0</v>
      </c>
      <c r="O35" s="150"/>
      <c r="P35" s="218"/>
      <c r="Q35" s="150"/>
      <c r="R35" s="184"/>
    </row>
    <row r="36" spans="1:18" ht="17.100000000000001" customHeight="1">
      <c r="A36" s="54" t="s">
        <v>40</v>
      </c>
      <c r="B36" s="70" t="s">
        <v>181</v>
      </c>
      <c r="C36" s="47" t="s">
        <v>149</v>
      </c>
      <c r="D36" s="52">
        <v>0</v>
      </c>
      <c r="E36" s="49"/>
      <c r="F36" s="52">
        <f>-D35</f>
        <v>0</v>
      </c>
      <c r="G36" s="49"/>
      <c r="H36" s="52">
        <f>-F35</f>
        <v>0</v>
      </c>
      <c r="I36" s="50"/>
      <c r="J36" s="53">
        <v>0</v>
      </c>
      <c r="K36" s="50"/>
      <c r="L36" s="52">
        <f>-J35</f>
        <v>0</v>
      </c>
      <c r="M36" s="49"/>
      <c r="N36" s="228">
        <f>-L35</f>
        <v>0</v>
      </c>
      <c r="O36" s="150"/>
      <c r="P36" s="218"/>
      <c r="Q36" s="150"/>
      <c r="R36" s="184"/>
    </row>
    <row r="37" spans="1:18" ht="17.100000000000001" customHeight="1">
      <c r="A37" s="54" t="s">
        <v>182</v>
      </c>
      <c r="B37" s="126" t="s">
        <v>183</v>
      </c>
      <c r="C37" s="47" t="s">
        <v>149</v>
      </c>
      <c r="D37" s="127">
        <f>D34+D35-D36</f>
        <v>391250</v>
      </c>
      <c r="F37" s="127">
        <f>F34+F35+F36</f>
        <v>391250</v>
      </c>
      <c r="H37" s="127">
        <f>H34+H35+H36</f>
        <v>10812500</v>
      </c>
      <c r="J37" s="128">
        <f>J30-J31</f>
        <v>-62527500</v>
      </c>
      <c r="L37" s="127">
        <f>L34+L35+L36</f>
        <v>902916.66666666663</v>
      </c>
      <c r="N37" s="228">
        <f>N34+N35+N36</f>
        <v>63741.666666666664</v>
      </c>
      <c r="O37" s="187"/>
      <c r="P37" s="218"/>
      <c r="Q37" s="188"/>
      <c r="R37" s="184"/>
    </row>
    <row r="38" spans="1:18" ht="7.5" customHeight="1">
      <c r="A38" s="57"/>
      <c r="B38" s="80"/>
      <c r="C38" s="59"/>
      <c r="D38" s="60"/>
      <c r="E38" s="81"/>
      <c r="F38" s="60"/>
      <c r="G38" s="81"/>
      <c r="H38" s="60"/>
      <c r="I38" s="81"/>
      <c r="J38" s="62"/>
      <c r="K38" s="81"/>
      <c r="L38" s="60"/>
      <c r="M38" s="81"/>
      <c r="N38" s="139"/>
      <c r="O38" s="189"/>
      <c r="P38" s="139"/>
      <c r="Q38" s="190"/>
      <c r="R38" s="185"/>
    </row>
    <row r="39" spans="1:18">
      <c r="A39" s="82" t="s">
        <v>184</v>
      </c>
      <c r="B39" s="64" t="s">
        <v>185</v>
      </c>
      <c r="C39" s="68"/>
      <c r="D39" s="68"/>
      <c r="E39" s="68"/>
      <c r="F39" s="68"/>
      <c r="G39" s="68"/>
      <c r="H39" s="68"/>
      <c r="I39" s="68"/>
      <c r="J39" s="68"/>
      <c r="K39" s="68"/>
      <c r="L39" s="68"/>
      <c r="M39" s="68"/>
      <c r="N39" s="243"/>
      <c r="O39" s="191"/>
      <c r="P39" s="243"/>
      <c r="Q39" s="191"/>
      <c r="R39" s="192"/>
    </row>
    <row r="40" spans="1:18" ht="18.75">
      <c r="A40" s="54" t="s">
        <v>182</v>
      </c>
      <c r="B40" s="142" t="s">
        <v>186</v>
      </c>
      <c r="C40" s="47" t="s">
        <v>149</v>
      </c>
      <c r="D40" s="50"/>
      <c r="E40" s="50"/>
      <c r="F40" s="50"/>
      <c r="G40" s="50"/>
      <c r="H40" s="50"/>
      <c r="I40" s="50"/>
      <c r="J40" s="50"/>
      <c r="K40" s="50"/>
      <c r="L40" s="50"/>
      <c r="M40" s="50"/>
      <c r="N40" s="244"/>
      <c r="O40" s="188"/>
      <c r="P40" s="246">
        <f>D43+F43+H43+J43+L43+N43</f>
        <v>-49965841.666666672</v>
      </c>
      <c r="Q40" s="138" t="s">
        <v>169</v>
      </c>
      <c r="R40" s="151">
        <f>D43+F43+H43+J43+L43+N43+P43</f>
        <v>2070600</v>
      </c>
    </row>
    <row r="41" spans="1:18">
      <c r="A41" s="54" t="s">
        <v>187</v>
      </c>
      <c r="B41" s="70" t="s">
        <v>188</v>
      </c>
      <c r="C41" s="47" t="s">
        <v>149</v>
      </c>
      <c r="D41" s="50"/>
      <c r="E41" s="50"/>
      <c r="F41" s="50"/>
      <c r="G41" s="50"/>
      <c r="H41" s="50"/>
      <c r="I41" s="50"/>
      <c r="J41" s="50"/>
      <c r="K41" s="50"/>
      <c r="L41" s="50"/>
      <c r="M41" s="50"/>
      <c r="N41" s="244"/>
      <c r="O41" s="188"/>
      <c r="P41" s="246">
        <f>P30-P40</f>
        <v>52036441.666666672</v>
      </c>
      <c r="Q41" s="188"/>
      <c r="R41" s="151"/>
    </row>
    <row r="42" spans="1:18" ht="3.75" customHeight="1">
      <c r="A42" s="54"/>
      <c r="B42" s="70"/>
      <c r="C42" s="47"/>
      <c r="D42" s="50"/>
      <c r="E42" s="50"/>
      <c r="F42" s="50"/>
      <c r="G42" s="50"/>
      <c r="H42" s="50"/>
      <c r="I42" s="50"/>
      <c r="J42" s="50"/>
      <c r="K42" s="50"/>
      <c r="L42" s="50"/>
      <c r="M42" s="50"/>
      <c r="N42" s="244"/>
      <c r="O42" s="188"/>
      <c r="P42" s="247"/>
      <c r="Q42" s="188"/>
      <c r="R42" s="151"/>
    </row>
    <row r="43" spans="1:18" ht="18.75">
      <c r="A43" s="124" t="s">
        <v>189</v>
      </c>
      <c r="B43" s="123" t="s">
        <v>190</v>
      </c>
      <c r="C43" s="56" t="s">
        <v>149</v>
      </c>
      <c r="D43" s="125">
        <f>D37</f>
        <v>391250</v>
      </c>
      <c r="E43" s="76" t="s">
        <v>169</v>
      </c>
      <c r="F43" s="125">
        <f>F37</f>
        <v>391250</v>
      </c>
      <c r="G43" s="76" t="s">
        <v>169</v>
      </c>
      <c r="H43" s="125">
        <f>H37</f>
        <v>10812500</v>
      </c>
      <c r="I43" s="76" t="s">
        <v>169</v>
      </c>
      <c r="J43" s="125">
        <f>J37</f>
        <v>-62527500</v>
      </c>
      <c r="K43" s="76" t="s">
        <v>169</v>
      </c>
      <c r="L43" s="125">
        <f>L37</f>
        <v>902916.66666666663</v>
      </c>
      <c r="M43" s="76" t="s">
        <v>169</v>
      </c>
      <c r="N43" s="245">
        <f>N37</f>
        <v>63741.666666666664</v>
      </c>
      <c r="O43" s="138" t="s">
        <v>169</v>
      </c>
      <c r="P43" s="248">
        <f>P30-P40</f>
        <v>52036441.666666672</v>
      </c>
      <c r="Q43" s="188"/>
      <c r="R43" s="151">
        <f>R28-R40</f>
        <v>0</v>
      </c>
    </row>
    <row r="44" spans="1:18">
      <c r="P44" s="83"/>
    </row>
  </sheetData>
  <mergeCells count="2">
    <mergeCell ref="B1:R1"/>
    <mergeCell ref="H3:J3"/>
  </mergeCells>
  <pageMargins left="0.43307086614173229" right="0.23622047244094491" top="0.39370078740157483" bottom="0.39370078740157483" header="0.31496062992125984" footer="0.31496062992125984"/>
  <pageSetup paperSize="9" scale="78" orientation="landscape" horizontalDpi="4294967293" verticalDpi="4294967293" r:id="rId1"/>
  <ignoredErrors>
    <ignoredError sqref="R19" formula="1"/>
  </ignoredErrors>
</worksheet>
</file>

<file path=xl/worksheets/sheet5.xml><?xml version="1.0" encoding="utf-8"?>
<worksheet xmlns="http://schemas.openxmlformats.org/spreadsheetml/2006/main" xmlns:r="http://schemas.openxmlformats.org/officeDocument/2006/relationships">
  <dimension ref="A2:O87"/>
  <sheetViews>
    <sheetView showGridLines="0" topLeftCell="A26" zoomScale="120" zoomScaleNormal="120" workbookViewId="0">
      <selection activeCell="I79" sqref="I79:J79"/>
    </sheetView>
  </sheetViews>
  <sheetFormatPr defaultRowHeight="18" customHeight="1"/>
  <cols>
    <col min="1" max="1" width="4.5" customWidth="1"/>
    <col min="7" max="7" width="9" customWidth="1"/>
    <col min="8" max="8" width="7.5" customWidth="1"/>
    <col min="11" max="11" width="1.5" customWidth="1"/>
    <col min="15" max="15" width="24.75" style="255" customWidth="1"/>
  </cols>
  <sheetData>
    <row r="2" spans="1:15" ht="18" customHeight="1">
      <c r="A2" s="147" t="s">
        <v>67</v>
      </c>
      <c r="B2" s="147"/>
      <c r="C2" s="147"/>
      <c r="D2" s="147"/>
      <c r="E2" s="147"/>
      <c r="F2" s="147"/>
      <c r="G2" s="147"/>
      <c r="H2" s="147"/>
      <c r="I2" s="147"/>
      <c r="J2" s="147"/>
      <c r="K2" s="147"/>
      <c r="L2" s="147"/>
      <c r="M2" s="147"/>
    </row>
    <row r="3" spans="1:15" ht="18" hidden="1" customHeight="1">
      <c r="A3" s="291" t="s">
        <v>55</v>
      </c>
      <c r="B3" s="291"/>
      <c r="C3" s="291"/>
      <c r="D3" s="291"/>
      <c r="E3" s="291"/>
      <c r="F3" s="291"/>
      <c r="G3" s="291"/>
      <c r="H3" s="291"/>
      <c r="I3" s="291"/>
      <c r="J3" s="291"/>
      <c r="K3" s="291"/>
      <c r="L3" s="291"/>
      <c r="M3" s="291"/>
    </row>
    <row r="4" spans="1:15" ht="18" hidden="1" customHeight="1">
      <c r="A4" s="291"/>
      <c r="B4" s="291"/>
      <c r="C4" s="291"/>
      <c r="D4" s="291"/>
      <c r="E4" s="291"/>
      <c r="F4" s="291"/>
      <c r="G4" s="291"/>
      <c r="H4" s="291"/>
      <c r="I4" s="291"/>
      <c r="J4" s="291"/>
      <c r="K4" s="291"/>
      <c r="L4" s="291"/>
      <c r="M4" s="291"/>
    </row>
    <row r="5" spans="1:15" ht="9.75" customHeight="1"/>
    <row r="6" spans="1:15" ht="18" customHeight="1">
      <c r="A6" s="287" t="s">
        <v>2</v>
      </c>
      <c r="B6" s="287"/>
      <c r="C6" s="287"/>
      <c r="D6" s="287"/>
      <c r="E6" s="287"/>
      <c r="F6" s="287"/>
      <c r="G6" s="287"/>
      <c r="H6" s="287"/>
      <c r="I6" s="287" t="s">
        <v>1</v>
      </c>
      <c r="J6" s="287"/>
      <c r="K6" s="287"/>
      <c r="L6" s="287"/>
      <c r="M6" s="287"/>
    </row>
    <row r="7" spans="1:15" ht="18" customHeight="1">
      <c r="A7" s="287"/>
      <c r="B7" s="287"/>
      <c r="C7" s="287"/>
      <c r="D7" s="287"/>
      <c r="E7" s="287"/>
      <c r="F7" s="287"/>
      <c r="G7" s="287"/>
      <c r="H7" s="287"/>
      <c r="I7" s="289" t="s">
        <v>56</v>
      </c>
      <c r="J7" s="289"/>
      <c r="K7" s="135"/>
      <c r="L7" s="292" t="s">
        <v>57</v>
      </c>
      <c r="M7" s="292"/>
    </row>
    <row r="8" spans="1:15" ht="23.1" customHeight="1">
      <c r="A8" s="10" t="s">
        <v>5</v>
      </c>
      <c r="B8" s="234" t="s">
        <v>58</v>
      </c>
      <c r="C8" s="234"/>
      <c r="D8" s="234"/>
      <c r="E8" s="234"/>
      <c r="F8" s="234"/>
      <c r="G8" s="234"/>
      <c r="H8" s="12"/>
      <c r="I8" s="284">
        <v>300000</v>
      </c>
      <c r="J8" s="284"/>
      <c r="K8" s="241"/>
      <c r="L8" s="284">
        <v>300000</v>
      </c>
      <c r="M8" s="284"/>
      <c r="O8" s="255">
        <f>I8*25</f>
        <v>7500000</v>
      </c>
    </row>
    <row r="9" spans="1:15" ht="23.1" customHeight="1">
      <c r="A9" s="5" t="s">
        <v>7</v>
      </c>
      <c r="B9" s="6" t="s">
        <v>59</v>
      </c>
      <c r="C9" s="6"/>
      <c r="D9" s="6"/>
      <c r="E9" s="6"/>
      <c r="F9" s="6"/>
      <c r="G9" s="6"/>
      <c r="H9" s="9"/>
      <c r="I9" s="286">
        <f>11*I8</f>
        <v>3300000</v>
      </c>
      <c r="J9" s="286"/>
      <c r="K9" s="241"/>
      <c r="L9" s="286">
        <f>12*L8</f>
        <v>3600000</v>
      </c>
      <c r="M9" s="286"/>
      <c r="O9" s="255">
        <f>O8*12</f>
        <v>90000000</v>
      </c>
    </row>
    <row r="10" spans="1:15" ht="23.1" customHeight="1">
      <c r="A10" s="5" t="s">
        <v>9</v>
      </c>
      <c r="B10" s="6" t="s">
        <v>60</v>
      </c>
      <c r="C10" s="6"/>
      <c r="D10" s="6"/>
      <c r="E10" s="6"/>
      <c r="F10" s="6"/>
      <c r="G10" s="13" t="s">
        <v>66</v>
      </c>
      <c r="H10" s="9"/>
      <c r="I10" s="286">
        <f>11*100000</f>
        <v>1100000</v>
      </c>
      <c r="J10" s="286"/>
      <c r="K10" s="241"/>
      <c r="L10" s="286">
        <f>12*100000</f>
        <v>1200000</v>
      </c>
      <c r="M10" s="286"/>
      <c r="O10" s="255">
        <v>-36000000</v>
      </c>
    </row>
    <row r="11" spans="1:15" ht="23.1" customHeight="1">
      <c r="A11" s="5" t="s">
        <v>11</v>
      </c>
      <c r="B11" s="6" t="s">
        <v>61</v>
      </c>
      <c r="C11" s="6"/>
      <c r="D11" s="6"/>
      <c r="E11" s="6"/>
      <c r="F11" s="6"/>
      <c r="G11" s="6"/>
      <c r="H11" s="5"/>
      <c r="I11" s="286">
        <f>I9-I10</f>
        <v>2200000</v>
      </c>
      <c r="J11" s="286"/>
      <c r="K11" s="241"/>
      <c r="L11" s="286">
        <f>L9-L10</f>
        <v>2400000</v>
      </c>
      <c r="M11" s="286"/>
    </row>
    <row r="12" spans="1:15" ht="23.1" customHeight="1">
      <c r="A12" s="5" t="s">
        <v>13</v>
      </c>
      <c r="B12" s="6" t="s">
        <v>62</v>
      </c>
      <c r="C12" s="6"/>
      <c r="D12" s="6"/>
      <c r="E12" s="6"/>
      <c r="F12" s="6"/>
      <c r="G12" s="6"/>
      <c r="H12" s="5"/>
      <c r="I12" s="286">
        <f>I11*5%</f>
        <v>110000</v>
      </c>
      <c r="J12" s="286"/>
      <c r="K12" s="241"/>
      <c r="L12" s="294">
        <f>L11*5%</f>
        <v>120000</v>
      </c>
      <c r="M12" s="294"/>
    </row>
    <row r="13" spans="1:15" ht="23.1" customHeight="1">
      <c r="A13" s="5" t="s">
        <v>15</v>
      </c>
      <c r="B13" s="6" t="s">
        <v>63</v>
      </c>
      <c r="C13" s="6"/>
      <c r="D13" s="6"/>
      <c r="E13" s="6"/>
      <c r="F13" s="6"/>
      <c r="G13" s="6"/>
      <c r="H13" s="5"/>
      <c r="I13" s="286">
        <v>0</v>
      </c>
      <c r="J13" s="286"/>
      <c r="K13" s="241"/>
      <c r="L13" s="286">
        <f>I13+I14</f>
        <v>110000</v>
      </c>
      <c r="M13" s="286"/>
    </row>
    <row r="14" spans="1:15" ht="23.1" customHeight="1">
      <c r="A14" s="7" t="s">
        <v>16</v>
      </c>
      <c r="B14" s="8" t="s">
        <v>65</v>
      </c>
      <c r="C14" s="8"/>
      <c r="D14" s="8"/>
      <c r="E14" s="8"/>
      <c r="F14" s="8"/>
      <c r="G14" s="8"/>
      <c r="H14" s="7"/>
      <c r="I14" s="286">
        <f>I12-I13</f>
        <v>110000</v>
      </c>
      <c r="J14" s="286"/>
      <c r="K14" s="241"/>
      <c r="L14" s="286">
        <f>L12-L13</f>
        <v>10000</v>
      </c>
      <c r="M14" s="286"/>
    </row>
    <row r="15" spans="1:15" ht="23.1" customHeight="1">
      <c r="A15" s="7" t="s">
        <v>19</v>
      </c>
      <c r="B15" s="8" t="s">
        <v>52</v>
      </c>
      <c r="C15" s="132"/>
      <c r="D15" s="132"/>
      <c r="E15" s="132"/>
      <c r="F15" s="132"/>
      <c r="G15" s="132"/>
      <c r="H15" s="132"/>
      <c r="I15" s="286">
        <v>0</v>
      </c>
      <c r="J15" s="286"/>
      <c r="K15" s="241"/>
      <c r="L15" s="286">
        <v>0</v>
      </c>
      <c r="M15" s="286"/>
    </row>
    <row r="16" spans="1:15" ht="23.1" customHeight="1">
      <c r="A16" s="7" t="s">
        <v>21</v>
      </c>
      <c r="B16" s="8" t="s">
        <v>64</v>
      </c>
      <c r="C16" s="133"/>
      <c r="D16" s="133"/>
      <c r="E16" s="133"/>
      <c r="F16" s="133"/>
      <c r="G16" s="133"/>
      <c r="H16" s="133"/>
      <c r="I16" s="286">
        <f>I14+I15</f>
        <v>110000</v>
      </c>
      <c r="J16" s="286"/>
      <c r="K16" s="241"/>
      <c r="L16" s="294">
        <f>SUM(L14:M15)</f>
        <v>10000</v>
      </c>
      <c r="M16" s="294"/>
    </row>
    <row r="17" spans="1:13" ht="10.5" customHeight="1">
      <c r="I17" s="1"/>
      <c r="J17" s="1"/>
      <c r="K17" s="1"/>
      <c r="L17" s="1"/>
      <c r="M17" s="1"/>
    </row>
    <row r="18" spans="1:13" ht="18" customHeight="1">
      <c r="A18" s="129"/>
      <c r="B18" s="130" t="s">
        <v>211</v>
      </c>
      <c r="C18" s="130"/>
      <c r="D18" s="129"/>
      <c r="E18" s="129"/>
      <c r="F18" s="129"/>
      <c r="G18" s="129"/>
      <c r="H18" s="129"/>
      <c r="I18" s="293">
        <f>36000000/360</f>
        <v>100000</v>
      </c>
      <c r="J18" s="293"/>
      <c r="K18" s="134"/>
      <c r="L18" s="131"/>
      <c r="M18" s="131"/>
    </row>
    <row r="19" spans="1:13" ht="10.5" customHeight="1">
      <c r="I19" s="1"/>
      <c r="J19" s="1"/>
      <c r="K19" s="1"/>
      <c r="L19" s="1"/>
      <c r="M19" s="1"/>
    </row>
    <row r="20" spans="1:13" ht="18" customHeight="1">
      <c r="A20" s="147" t="s">
        <v>68</v>
      </c>
      <c r="B20" s="147"/>
      <c r="C20" s="147"/>
      <c r="D20" s="147"/>
      <c r="E20" s="147"/>
      <c r="F20" s="147"/>
      <c r="G20" s="147"/>
      <c r="H20" s="147"/>
      <c r="I20" s="148"/>
      <c r="J20" s="148"/>
      <c r="K20" s="148"/>
      <c r="L20" s="148"/>
      <c r="M20" s="148"/>
    </row>
    <row r="21" spans="1:13" ht="18" customHeight="1">
      <c r="A21" s="287" t="s">
        <v>2</v>
      </c>
      <c r="B21" s="287"/>
      <c r="C21" s="287"/>
      <c r="D21" s="287"/>
      <c r="E21" s="287"/>
      <c r="F21" s="287"/>
      <c r="G21" s="287"/>
      <c r="H21" s="287"/>
      <c r="I21" s="287" t="s">
        <v>1</v>
      </c>
      <c r="J21" s="287"/>
      <c r="K21" s="287"/>
      <c r="L21" s="287"/>
      <c r="M21" s="287"/>
    </row>
    <row r="22" spans="1:13" ht="18" customHeight="1">
      <c r="A22" s="287"/>
      <c r="B22" s="287"/>
      <c r="C22" s="287"/>
      <c r="D22" s="287"/>
      <c r="E22" s="287"/>
      <c r="F22" s="287"/>
      <c r="G22" s="287"/>
      <c r="H22" s="287"/>
      <c r="I22" s="289" t="s">
        <v>70</v>
      </c>
      <c r="J22" s="289"/>
      <c r="K22" s="135"/>
      <c r="L22" s="292" t="s">
        <v>69</v>
      </c>
      <c r="M22" s="292"/>
    </row>
    <row r="23" spans="1:13" ht="23.1" customHeight="1">
      <c r="A23" s="10" t="s">
        <v>5</v>
      </c>
      <c r="B23" s="11" t="s">
        <v>71</v>
      </c>
      <c r="C23" s="11"/>
      <c r="D23" s="11"/>
      <c r="E23" s="11"/>
      <c r="F23" s="11"/>
      <c r="G23" s="11"/>
      <c r="H23" s="12"/>
      <c r="I23" s="284">
        <v>60000000</v>
      </c>
      <c r="J23" s="284"/>
      <c r="K23" s="233"/>
      <c r="L23" s="284">
        <v>20000000</v>
      </c>
      <c r="M23" s="284"/>
    </row>
    <row r="24" spans="1:13" ht="23.1" customHeight="1">
      <c r="A24" s="5" t="s">
        <v>7</v>
      </c>
      <c r="B24" s="6" t="s">
        <v>72</v>
      </c>
      <c r="C24" s="6"/>
      <c r="D24" s="6"/>
      <c r="E24" s="6"/>
      <c r="F24" s="6"/>
      <c r="G24" s="6"/>
      <c r="H24" s="9"/>
      <c r="I24" s="286"/>
      <c r="J24" s="286"/>
      <c r="K24" s="241"/>
      <c r="L24" s="286"/>
      <c r="M24" s="286"/>
    </row>
    <row r="25" spans="1:13" ht="23.1" customHeight="1">
      <c r="A25" s="5"/>
      <c r="B25" s="14" t="s">
        <v>73</v>
      </c>
      <c r="C25" s="6"/>
      <c r="D25" s="6"/>
      <c r="E25" s="6"/>
      <c r="F25" s="6"/>
      <c r="G25" s="13"/>
      <c r="H25" s="9"/>
      <c r="I25" s="286">
        <f>5%*50000000</f>
        <v>2500000</v>
      </c>
      <c r="J25" s="286"/>
      <c r="K25" s="241"/>
      <c r="L25" s="294"/>
      <c r="M25" s="294"/>
    </row>
    <row r="26" spans="1:13" ht="23.1" customHeight="1">
      <c r="A26" s="5"/>
      <c r="B26" s="14" t="s">
        <v>74</v>
      </c>
      <c r="C26" s="6"/>
      <c r="D26" s="6"/>
      <c r="E26" s="6"/>
      <c r="F26" s="6"/>
      <c r="G26" s="6"/>
      <c r="H26" s="5"/>
      <c r="I26" s="286">
        <f>15%*10000000</f>
        <v>1500000</v>
      </c>
      <c r="J26" s="286"/>
      <c r="K26" s="241"/>
      <c r="L26" s="286">
        <f>15%*L23</f>
        <v>3000000</v>
      </c>
      <c r="M26" s="286"/>
    </row>
    <row r="27" spans="1:13" ht="23.1" customHeight="1">
      <c r="A27" s="5"/>
      <c r="B27" s="6" t="s">
        <v>75</v>
      </c>
      <c r="C27" s="6"/>
      <c r="D27" s="6"/>
      <c r="E27" s="6"/>
      <c r="F27" s="6"/>
      <c r="G27" s="6"/>
      <c r="H27" s="5"/>
      <c r="I27" s="286">
        <f>SUM(I25:J26)</f>
        <v>4000000</v>
      </c>
      <c r="J27" s="286"/>
      <c r="K27" s="241"/>
      <c r="L27" s="286">
        <f>SUM(L26)</f>
        <v>3000000</v>
      </c>
      <c r="M27" s="286"/>
    </row>
    <row r="28" spans="1:13" ht="23.1" customHeight="1">
      <c r="A28" s="5" t="s">
        <v>9</v>
      </c>
      <c r="B28" s="8" t="s">
        <v>52</v>
      </c>
      <c r="C28" s="6"/>
      <c r="D28" s="6"/>
      <c r="E28" s="6"/>
      <c r="F28" s="6"/>
      <c r="G28" s="6"/>
      <c r="H28" s="5"/>
      <c r="I28" s="286">
        <v>0</v>
      </c>
      <c r="J28" s="286"/>
      <c r="K28" s="241"/>
      <c r="L28" s="286">
        <v>0</v>
      </c>
      <c r="M28" s="286"/>
    </row>
    <row r="29" spans="1:13" ht="23.1" customHeight="1">
      <c r="A29" s="15" t="s">
        <v>11</v>
      </c>
      <c r="B29" s="8" t="s">
        <v>76</v>
      </c>
      <c r="C29" s="133"/>
      <c r="D29" s="133"/>
      <c r="E29" s="133"/>
      <c r="F29" s="133"/>
      <c r="G29" s="133"/>
      <c r="H29" s="133"/>
      <c r="I29" s="286">
        <f>SUM(I27:J28)</f>
        <v>4000000</v>
      </c>
      <c r="J29" s="295"/>
      <c r="K29" s="137"/>
      <c r="L29" s="286">
        <f>SUM(L27:M28)</f>
        <v>3000000</v>
      </c>
      <c r="M29" s="295"/>
    </row>
    <row r="30" spans="1:13" ht="11.25" customHeight="1">
      <c r="I30" s="1"/>
      <c r="J30" s="1"/>
      <c r="K30" s="1"/>
      <c r="L30" s="1"/>
      <c r="M30" s="1"/>
    </row>
    <row r="31" spans="1:13" ht="18" customHeight="1">
      <c r="A31" s="147" t="s">
        <v>77</v>
      </c>
      <c r="B31" s="147"/>
      <c r="C31" s="147"/>
      <c r="D31" s="147"/>
      <c r="E31" s="147"/>
      <c r="F31" s="147"/>
      <c r="G31" s="147"/>
      <c r="H31" s="147"/>
      <c r="I31" s="148"/>
      <c r="J31" s="148"/>
      <c r="K31" s="148"/>
      <c r="L31" s="148"/>
      <c r="M31" s="148"/>
    </row>
    <row r="32" spans="1:13" ht="18" customHeight="1">
      <c r="A32" s="287" t="s">
        <v>2</v>
      </c>
      <c r="B32" s="287"/>
      <c r="C32" s="287"/>
      <c r="D32" s="287"/>
      <c r="E32" s="287"/>
      <c r="F32" s="287"/>
      <c r="G32" s="287"/>
      <c r="H32" s="287"/>
      <c r="I32" s="287" t="s">
        <v>1</v>
      </c>
      <c r="J32" s="287"/>
      <c r="K32" s="287"/>
      <c r="L32" s="287"/>
      <c r="M32" s="287"/>
    </row>
    <row r="33" spans="1:13" ht="18" customHeight="1">
      <c r="A33" s="287"/>
      <c r="B33" s="287"/>
      <c r="C33" s="287"/>
      <c r="D33" s="287"/>
      <c r="E33" s="287"/>
      <c r="F33" s="287"/>
      <c r="G33" s="287"/>
      <c r="H33" s="287"/>
      <c r="I33" s="292" t="s">
        <v>70</v>
      </c>
      <c r="J33" s="292"/>
      <c r="K33" s="135"/>
      <c r="L33" s="296"/>
      <c r="M33" s="296"/>
    </row>
    <row r="34" spans="1:13" ht="23.1" customHeight="1">
      <c r="A34" s="10" t="s">
        <v>5</v>
      </c>
      <c r="B34" s="256" t="s">
        <v>71</v>
      </c>
      <c r="C34" s="256"/>
      <c r="D34" s="256"/>
      <c r="E34" s="256"/>
      <c r="F34" s="256"/>
      <c r="G34" s="256"/>
      <c r="H34" s="257"/>
      <c r="I34" s="297">
        <v>5000000</v>
      </c>
      <c r="J34" s="297"/>
      <c r="K34" s="136"/>
      <c r="L34" s="298"/>
      <c r="M34" s="298"/>
    </row>
    <row r="35" spans="1:13" ht="23.1" customHeight="1">
      <c r="A35" s="5" t="s">
        <v>7</v>
      </c>
      <c r="B35" s="258" t="s">
        <v>78</v>
      </c>
      <c r="C35" s="258"/>
      <c r="D35" s="258"/>
      <c r="E35" s="258"/>
      <c r="F35" s="258"/>
      <c r="G35" s="258"/>
      <c r="H35" s="259"/>
      <c r="I35" s="299">
        <f>50%*I34</f>
        <v>2500000</v>
      </c>
      <c r="J35" s="299"/>
      <c r="K35" s="136"/>
      <c r="L35" s="300"/>
      <c r="M35" s="300"/>
    </row>
    <row r="36" spans="1:13" ht="23.1" customHeight="1">
      <c r="A36" s="5" t="s">
        <v>79</v>
      </c>
      <c r="B36" s="258" t="s">
        <v>238</v>
      </c>
      <c r="C36" s="258"/>
      <c r="D36" s="258"/>
      <c r="E36" s="258"/>
      <c r="F36" s="258"/>
      <c r="G36" s="260"/>
      <c r="H36" s="259"/>
      <c r="I36" s="299">
        <f>I35*5%</f>
        <v>125000</v>
      </c>
      <c r="J36" s="299"/>
      <c r="K36" s="136"/>
      <c r="L36" s="300"/>
      <c r="M36" s="300"/>
    </row>
    <row r="37" spans="1:13" ht="23.1" customHeight="1">
      <c r="A37" s="5" t="s">
        <v>11</v>
      </c>
      <c r="B37" s="8" t="s">
        <v>52</v>
      </c>
      <c r="C37" s="258"/>
      <c r="D37" s="258"/>
      <c r="E37" s="258"/>
      <c r="F37" s="258"/>
      <c r="G37" s="258"/>
      <c r="H37" s="262"/>
      <c r="I37" s="299">
        <v>0</v>
      </c>
      <c r="J37" s="299"/>
      <c r="K37" s="136"/>
      <c r="L37" s="300"/>
      <c r="M37" s="300"/>
    </row>
    <row r="38" spans="1:13" ht="23.1" customHeight="1">
      <c r="A38" s="15" t="s">
        <v>13</v>
      </c>
      <c r="B38" s="261" t="s">
        <v>81</v>
      </c>
      <c r="C38" s="263"/>
      <c r="D38" s="263"/>
      <c r="E38" s="263"/>
      <c r="F38" s="263"/>
      <c r="G38" s="263"/>
      <c r="H38" s="263"/>
      <c r="I38" s="299">
        <f>SUM(I36:J37)</f>
        <v>125000</v>
      </c>
      <c r="J38" s="301"/>
      <c r="K38" s="137"/>
      <c r="L38" s="302"/>
      <c r="M38" s="302"/>
    </row>
    <row r="39" spans="1:13" ht="11.25" customHeight="1">
      <c r="I39" s="1"/>
      <c r="J39" s="1"/>
      <c r="K39" s="1"/>
      <c r="L39" s="1"/>
      <c r="M39" s="1"/>
    </row>
    <row r="40" spans="1:13" ht="11.25" customHeight="1">
      <c r="I40" s="1"/>
      <c r="J40" s="1"/>
      <c r="K40" s="1"/>
      <c r="L40" s="1"/>
      <c r="M40" s="1"/>
    </row>
    <row r="41" spans="1:13" ht="11.25" customHeight="1">
      <c r="I41" s="1"/>
      <c r="J41" s="1"/>
      <c r="K41" s="1"/>
      <c r="L41" s="1"/>
      <c r="M41" s="1"/>
    </row>
    <row r="42" spans="1:13" ht="11.25" customHeight="1">
      <c r="I42" s="1"/>
      <c r="J42" s="1"/>
      <c r="K42" s="1"/>
      <c r="L42" s="1"/>
      <c r="M42" s="1"/>
    </row>
    <row r="43" spans="1:13" ht="11.25" customHeight="1">
      <c r="I43" s="1"/>
      <c r="J43" s="1"/>
      <c r="K43" s="1"/>
      <c r="L43" s="1"/>
      <c r="M43" s="1"/>
    </row>
    <row r="44" spans="1:13" ht="11.25" customHeight="1">
      <c r="I44" s="1"/>
      <c r="J44" s="1"/>
      <c r="K44" s="1"/>
      <c r="L44" s="1"/>
      <c r="M44" s="1"/>
    </row>
    <row r="45" spans="1:13" ht="11.25" customHeight="1">
      <c r="I45" s="1"/>
      <c r="J45" s="1"/>
      <c r="K45" s="1"/>
      <c r="L45" s="1"/>
      <c r="M45" s="1"/>
    </row>
    <row r="46" spans="1:13" ht="11.25" customHeight="1">
      <c r="I46" s="1"/>
      <c r="J46" s="1"/>
      <c r="K46" s="1"/>
      <c r="L46" s="1"/>
      <c r="M46" s="1"/>
    </row>
    <row r="47" spans="1:13" ht="11.25" customHeight="1">
      <c r="I47" s="1"/>
      <c r="J47" s="1"/>
      <c r="K47" s="1"/>
      <c r="L47" s="1"/>
      <c r="M47" s="1"/>
    </row>
    <row r="48" spans="1:13" ht="11.25" customHeight="1">
      <c r="I48" s="1"/>
      <c r="J48" s="1"/>
      <c r="K48" s="1"/>
      <c r="L48" s="1"/>
      <c r="M48" s="1"/>
    </row>
    <row r="49" spans="1:13" ht="11.25" customHeight="1">
      <c r="I49" s="1"/>
      <c r="J49" s="1"/>
      <c r="K49" s="1"/>
      <c r="L49" s="1"/>
      <c r="M49" s="1"/>
    </row>
    <row r="50" spans="1:13" ht="11.25" customHeight="1">
      <c r="I50" s="1"/>
      <c r="J50" s="1"/>
      <c r="K50" s="1"/>
      <c r="L50" s="1"/>
      <c r="M50" s="1"/>
    </row>
    <row r="51" spans="1:13" ht="11.25" customHeight="1">
      <c r="I51" s="1"/>
      <c r="J51" s="1"/>
      <c r="K51" s="1"/>
      <c r="L51" s="1"/>
      <c r="M51" s="1"/>
    </row>
    <row r="52" spans="1:13" ht="11.25" customHeight="1">
      <c r="I52" s="1"/>
      <c r="J52" s="1"/>
      <c r="K52" s="1"/>
      <c r="L52" s="1"/>
      <c r="M52" s="1"/>
    </row>
    <row r="53" spans="1:13" ht="11.25" customHeight="1">
      <c r="I53" s="1"/>
      <c r="J53" s="1"/>
      <c r="K53" s="1"/>
      <c r="L53" s="1"/>
      <c r="M53" s="1"/>
    </row>
    <row r="54" spans="1:13" ht="11.25" customHeight="1">
      <c r="I54" s="1"/>
      <c r="J54" s="1"/>
      <c r="K54" s="1"/>
      <c r="L54" s="1"/>
      <c r="M54" s="1"/>
    </row>
    <row r="55" spans="1:13" ht="18" customHeight="1">
      <c r="A55" s="147" t="s">
        <v>82</v>
      </c>
      <c r="B55" s="147"/>
      <c r="C55" s="147"/>
      <c r="D55" s="147"/>
      <c r="E55" s="147"/>
      <c r="F55" s="147"/>
      <c r="G55" s="147"/>
      <c r="H55" s="147"/>
      <c r="I55" s="148"/>
      <c r="J55" s="148"/>
      <c r="K55" s="148"/>
      <c r="L55" s="148"/>
      <c r="M55" s="148"/>
    </row>
    <row r="56" spans="1:13" ht="18" customHeight="1">
      <c r="A56" s="287" t="s">
        <v>2</v>
      </c>
      <c r="B56" s="287"/>
      <c r="C56" s="287"/>
      <c r="D56" s="287"/>
      <c r="E56" s="287"/>
      <c r="F56" s="287"/>
      <c r="G56" s="287"/>
      <c r="H56" s="287"/>
      <c r="I56" s="287" t="s">
        <v>1</v>
      </c>
      <c r="J56" s="287"/>
      <c r="K56" s="287"/>
      <c r="L56" s="287"/>
      <c r="M56" s="287"/>
    </row>
    <row r="57" spans="1:13" ht="18" customHeight="1">
      <c r="A57" s="287"/>
      <c r="B57" s="287"/>
      <c r="C57" s="287"/>
      <c r="D57" s="287"/>
      <c r="E57" s="287"/>
      <c r="F57" s="287"/>
      <c r="G57" s="287"/>
      <c r="H57" s="287"/>
      <c r="I57" s="289" t="s">
        <v>84</v>
      </c>
      <c r="J57" s="289"/>
      <c r="K57" s="135"/>
      <c r="L57" s="292" t="s">
        <v>70</v>
      </c>
      <c r="M57" s="292"/>
    </row>
    <row r="58" spans="1:13" ht="23.1" customHeight="1">
      <c r="A58" s="10" t="s">
        <v>5</v>
      </c>
      <c r="B58" s="234" t="s">
        <v>71</v>
      </c>
      <c r="C58" s="234"/>
      <c r="D58" s="234"/>
      <c r="E58" s="234"/>
      <c r="F58" s="234"/>
      <c r="G58" s="234"/>
      <c r="H58" s="12"/>
      <c r="I58" s="284">
        <v>75000000</v>
      </c>
      <c r="J58" s="284"/>
      <c r="K58" s="233"/>
      <c r="L58" s="303">
        <v>50000000</v>
      </c>
      <c r="M58" s="303"/>
    </row>
    <row r="59" spans="1:13" ht="23.1" customHeight="1">
      <c r="A59" s="5" t="s">
        <v>7</v>
      </c>
      <c r="B59" s="6" t="s">
        <v>78</v>
      </c>
      <c r="C59" s="6"/>
      <c r="D59" s="6"/>
      <c r="E59" s="6"/>
      <c r="F59" s="6"/>
      <c r="G59" s="6"/>
      <c r="H59" s="9"/>
      <c r="I59" s="286">
        <f>50%*I58</f>
        <v>37500000</v>
      </c>
      <c r="J59" s="286"/>
      <c r="K59" s="233"/>
      <c r="L59" s="286">
        <f>50%*L58</f>
        <v>25000000</v>
      </c>
      <c r="M59" s="286"/>
    </row>
    <row r="60" spans="1:13" ht="23.1" customHeight="1">
      <c r="A60" s="193" t="s">
        <v>9</v>
      </c>
      <c r="B60" s="6" t="s">
        <v>83</v>
      </c>
      <c r="C60" s="6"/>
      <c r="D60" s="6"/>
      <c r="E60" s="6"/>
      <c r="F60" s="6"/>
      <c r="G60" s="6"/>
      <c r="H60" s="9"/>
      <c r="I60" s="286">
        <f>36000000/12</f>
        <v>3000000</v>
      </c>
      <c r="J60" s="286"/>
      <c r="K60" s="233"/>
      <c r="L60" s="286">
        <v>3000000</v>
      </c>
      <c r="M60" s="286"/>
    </row>
    <row r="61" spans="1:13" ht="23.1" customHeight="1">
      <c r="A61" s="193" t="s">
        <v>11</v>
      </c>
      <c r="B61" s="264" t="s">
        <v>61</v>
      </c>
      <c r="C61" s="264"/>
      <c r="D61" s="264"/>
      <c r="E61" s="264"/>
      <c r="F61" s="264"/>
      <c r="G61" s="265"/>
      <c r="H61" s="9"/>
      <c r="I61" s="294">
        <f>I59-I60</f>
        <v>34500000</v>
      </c>
      <c r="J61" s="294"/>
      <c r="K61" s="233"/>
      <c r="L61" s="294">
        <f>L59-L60</f>
        <v>22000000</v>
      </c>
      <c r="M61" s="294"/>
    </row>
    <row r="62" spans="1:13" ht="23.1" customHeight="1">
      <c r="A62" s="193" t="s">
        <v>13</v>
      </c>
      <c r="B62" s="6" t="s">
        <v>72</v>
      </c>
      <c r="C62" s="6"/>
      <c r="D62" s="6"/>
      <c r="E62" s="6"/>
      <c r="F62" s="6"/>
      <c r="G62" s="6"/>
      <c r="H62" s="9"/>
      <c r="I62" s="286"/>
      <c r="J62" s="286"/>
      <c r="K62" s="233"/>
      <c r="L62" s="286"/>
      <c r="M62" s="286"/>
    </row>
    <row r="63" spans="1:13" ht="23.1" customHeight="1">
      <c r="A63" s="7"/>
      <c r="B63" s="236" t="s">
        <v>73</v>
      </c>
      <c r="C63" s="237"/>
      <c r="D63" s="237"/>
      <c r="E63" s="237"/>
      <c r="F63" s="237"/>
      <c r="G63" s="238"/>
      <c r="H63" s="9"/>
      <c r="I63" s="286">
        <f>I61*5%</f>
        <v>1725000</v>
      </c>
      <c r="J63" s="286"/>
      <c r="K63" s="233"/>
      <c r="L63" s="286">
        <f>5%*(50000000-34500000)</f>
        <v>775000</v>
      </c>
      <c r="M63" s="286"/>
    </row>
    <row r="64" spans="1:13" ht="23.1" customHeight="1">
      <c r="A64" s="15"/>
      <c r="B64" s="14" t="s">
        <v>74</v>
      </c>
      <c r="C64" s="6"/>
      <c r="D64" s="6"/>
      <c r="E64" s="6"/>
      <c r="F64" s="6"/>
      <c r="G64" s="6"/>
      <c r="H64" s="5"/>
      <c r="I64" s="286">
        <v>0</v>
      </c>
      <c r="J64" s="286"/>
      <c r="K64" s="233"/>
      <c r="L64" s="286">
        <f>15%*(22000000-15500000)</f>
        <v>975000</v>
      </c>
      <c r="M64" s="286"/>
    </row>
    <row r="65" spans="1:13" ht="23.1" customHeight="1">
      <c r="A65" s="194"/>
      <c r="B65" s="6" t="s">
        <v>75</v>
      </c>
      <c r="C65" s="6"/>
      <c r="D65" s="6"/>
      <c r="E65" s="6"/>
      <c r="F65" s="6"/>
      <c r="G65" s="6"/>
      <c r="H65" s="5"/>
      <c r="I65" s="286">
        <f>SUM(I63:J64)</f>
        <v>1725000</v>
      </c>
      <c r="J65" s="286"/>
      <c r="K65" s="233"/>
      <c r="L65" s="286">
        <f>SUM(L63:M64)</f>
        <v>1750000</v>
      </c>
      <c r="M65" s="286"/>
    </row>
    <row r="66" spans="1:13" ht="23.1" customHeight="1">
      <c r="A66" s="194" t="s">
        <v>15</v>
      </c>
      <c r="B66" s="8" t="s">
        <v>52</v>
      </c>
      <c r="C66" s="6"/>
      <c r="D66" s="6"/>
      <c r="E66" s="6"/>
      <c r="F66" s="6"/>
      <c r="G66" s="6"/>
      <c r="H66" s="5"/>
      <c r="I66" s="286">
        <v>0</v>
      </c>
      <c r="J66" s="286"/>
      <c r="K66" s="233"/>
      <c r="L66" s="286">
        <v>0</v>
      </c>
      <c r="M66" s="286"/>
    </row>
    <row r="67" spans="1:13" ht="23.1" customHeight="1">
      <c r="A67" s="133" t="s">
        <v>16</v>
      </c>
      <c r="B67" s="8" t="s">
        <v>81</v>
      </c>
      <c r="C67" s="133"/>
      <c r="D67" s="133"/>
      <c r="E67" s="133"/>
      <c r="F67" s="133"/>
      <c r="G67" s="133"/>
      <c r="H67" s="133"/>
      <c r="I67" s="286">
        <f>SUM(I65:J66)</f>
        <v>1725000</v>
      </c>
      <c r="J67" s="295"/>
      <c r="K67" s="235"/>
      <c r="L67" s="286">
        <f>SUM(L65:M66)</f>
        <v>1750000</v>
      </c>
      <c r="M67" s="295"/>
    </row>
    <row r="68" spans="1:13" ht="23.1" customHeight="1"/>
    <row r="71" spans="1:13" ht="18" customHeight="1">
      <c r="A71" s="147" t="s">
        <v>213</v>
      </c>
      <c r="B71" s="147"/>
      <c r="C71" s="147"/>
      <c r="D71" s="147"/>
      <c r="E71" s="147"/>
      <c r="F71" s="147"/>
      <c r="G71" s="147"/>
      <c r="H71" s="147"/>
      <c r="I71" s="148"/>
      <c r="J71" s="148"/>
      <c r="K71" s="148"/>
      <c r="L71" s="148"/>
      <c r="M71" s="148"/>
    </row>
    <row r="72" spans="1:13" ht="18" customHeight="1">
      <c r="A72" s="287" t="s">
        <v>2</v>
      </c>
      <c r="B72" s="287"/>
      <c r="C72" s="287"/>
      <c r="D72" s="287"/>
      <c r="E72" s="287"/>
      <c r="F72" s="287"/>
      <c r="G72" s="287"/>
      <c r="H72" s="287"/>
      <c r="I72" s="288" t="s">
        <v>1</v>
      </c>
      <c r="J72" s="288"/>
      <c r="K72" s="288"/>
      <c r="L72" s="288"/>
      <c r="M72" s="288"/>
    </row>
    <row r="73" spans="1:13" ht="18" customHeight="1">
      <c r="A73" s="287"/>
      <c r="B73" s="287"/>
      <c r="C73" s="287"/>
      <c r="D73" s="287"/>
      <c r="E73" s="287"/>
      <c r="F73" s="287"/>
      <c r="G73" s="287"/>
      <c r="H73" s="287"/>
      <c r="I73" s="289" t="s">
        <v>70</v>
      </c>
      <c r="J73" s="289"/>
      <c r="K73" s="135"/>
      <c r="L73" s="290"/>
      <c r="M73" s="290"/>
    </row>
    <row r="74" spans="1:13" ht="21" customHeight="1">
      <c r="A74" s="10" t="s">
        <v>5</v>
      </c>
      <c r="B74" s="11" t="s">
        <v>71</v>
      </c>
      <c r="C74" s="11"/>
      <c r="D74" s="11"/>
      <c r="E74" s="11"/>
      <c r="F74" s="11"/>
      <c r="G74" s="11"/>
      <c r="H74" s="12"/>
      <c r="I74" s="284">
        <v>168000000</v>
      </c>
      <c r="J74" s="284"/>
      <c r="K74" s="149"/>
      <c r="L74" s="285"/>
      <c r="M74" s="285"/>
    </row>
    <row r="75" spans="1:13" ht="21" customHeight="1">
      <c r="A75" s="5" t="s">
        <v>7</v>
      </c>
      <c r="B75" s="6" t="s">
        <v>214</v>
      </c>
      <c r="C75" s="6"/>
      <c r="D75" s="6"/>
      <c r="E75" s="6"/>
      <c r="F75" s="6"/>
      <c r="G75" s="6"/>
      <c r="H75" s="9"/>
      <c r="I75" s="286"/>
      <c r="J75" s="286"/>
      <c r="K75" s="149"/>
      <c r="L75" s="285"/>
      <c r="M75" s="285"/>
    </row>
    <row r="76" spans="1:13" ht="21" customHeight="1">
      <c r="A76" s="5"/>
      <c r="B76" s="14" t="s">
        <v>215</v>
      </c>
      <c r="C76" s="6"/>
      <c r="D76" s="6"/>
      <c r="E76" s="6"/>
      <c r="F76" s="6"/>
      <c r="G76" s="13"/>
      <c r="H76" s="9"/>
      <c r="I76" s="286">
        <v>0</v>
      </c>
      <c r="J76" s="286"/>
      <c r="K76" s="149"/>
      <c r="L76" s="285"/>
      <c r="M76" s="285"/>
    </row>
    <row r="77" spans="1:13" ht="21" customHeight="1">
      <c r="A77" s="5"/>
      <c r="B77" s="14" t="s">
        <v>216</v>
      </c>
      <c r="C77" s="6"/>
      <c r="D77" s="6"/>
      <c r="E77" s="6"/>
      <c r="F77" s="6"/>
      <c r="G77" s="6"/>
      <c r="H77" s="5"/>
      <c r="I77" s="286">
        <f>5%*50000000</f>
        <v>2500000</v>
      </c>
      <c r="J77" s="286"/>
      <c r="K77" s="149"/>
      <c r="L77" s="285"/>
      <c r="M77" s="285"/>
    </row>
    <row r="78" spans="1:13" ht="21" customHeight="1">
      <c r="A78" s="5"/>
      <c r="B78" s="14" t="s">
        <v>217</v>
      </c>
      <c r="C78" s="6"/>
      <c r="D78" s="6"/>
      <c r="E78" s="6"/>
      <c r="F78" s="6"/>
      <c r="G78" s="6"/>
      <c r="H78" s="5"/>
      <c r="I78" s="286">
        <f>15%*68000000</f>
        <v>10200000</v>
      </c>
      <c r="J78" s="286"/>
    </row>
    <row r="79" spans="1:13" ht="21" customHeight="1">
      <c r="A79" s="5"/>
      <c r="B79" s="14" t="s">
        <v>218</v>
      </c>
      <c r="C79" s="6"/>
      <c r="D79" s="6"/>
      <c r="E79" s="6"/>
      <c r="F79" s="6"/>
      <c r="G79" s="6"/>
      <c r="H79" s="5"/>
      <c r="I79" s="286">
        <f>I76+I77+I78</f>
        <v>12700000</v>
      </c>
      <c r="J79" s="286"/>
    </row>
    <row r="82" spans="1:13" ht="18" customHeight="1">
      <c r="A82" s="147" t="s">
        <v>219</v>
      </c>
      <c r="B82" s="147"/>
      <c r="C82" s="147"/>
      <c r="D82" s="147"/>
      <c r="E82" s="147"/>
      <c r="F82" s="147"/>
      <c r="G82" s="147"/>
      <c r="H82" s="147"/>
      <c r="I82" s="148"/>
      <c r="J82" s="148"/>
      <c r="K82" s="148"/>
      <c r="L82" s="148"/>
      <c r="M82" s="148"/>
    </row>
    <row r="83" spans="1:13" ht="18" customHeight="1">
      <c r="A83" s="287" t="s">
        <v>2</v>
      </c>
      <c r="B83" s="287"/>
      <c r="C83" s="287"/>
      <c r="D83" s="287"/>
      <c r="E83" s="287"/>
      <c r="F83" s="287"/>
      <c r="G83" s="287"/>
      <c r="H83" s="287"/>
      <c r="I83" s="288" t="s">
        <v>1</v>
      </c>
      <c r="J83" s="288"/>
      <c r="K83" s="288"/>
      <c r="L83" s="288"/>
      <c r="M83" s="288"/>
    </row>
    <row r="84" spans="1:13" ht="18" customHeight="1">
      <c r="A84" s="287"/>
      <c r="B84" s="287"/>
      <c r="C84" s="287"/>
      <c r="D84" s="287"/>
      <c r="E84" s="287"/>
      <c r="F84" s="287"/>
      <c r="G84" s="287"/>
      <c r="H84" s="287"/>
      <c r="I84" s="289" t="s">
        <v>70</v>
      </c>
      <c r="J84" s="289"/>
      <c r="K84" s="135"/>
      <c r="L84" s="290"/>
      <c r="M84" s="290"/>
    </row>
    <row r="85" spans="1:13" ht="21" customHeight="1">
      <c r="A85" s="10" t="s">
        <v>5</v>
      </c>
      <c r="B85" s="11" t="s">
        <v>71</v>
      </c>
      <c r="C85" s="11"/>
      <c r="D85" s="239" t="s">
        <v>236</v>
      </c>
      <c r="E85" s="11"/>
      <c r="F85" s="11"/>
      <c r="G85" s="11"/>
      <c r="H85" s="12"/>
      <c r="I85" s="284">
        <f>4000*9906</f>
        <v>39624000</v>
      </c>
      <c r="J85" s="284"/>
      <c r="K85" s="149"/>
      <c r="L85" s="285"/>
      <c r="M85" s="285"/>
    </row>
    <row r="86" spans="1:13" ht="21" customHeight="1">
      <c r="A86" s="5" t="s">
        <v>7</v>
      </c>
      <c r="B86" s="6" t="s">
        <v>220</v>
      </c>
      <c r="C86" s="6"/>
      <c r="D86" s="6"/>
      <c r="E86" s="6"/>
      <c r="F86" s="6"/>
      <c r="G86" s="6"/>
      <c r="H86" s="9"/>
      <c r="I86" s="286"/>
      <c r="J86" s="286"/>
      <c r="K86" s="149"/>
      <c r="L86" s="285"/>
      <c r="M86" s="285"/>
    </row>
    <row r="87" spans="1:13" ht="21" customHeight="1">
      <c r="A87" s="5"/>
      <c r="B87" s="240" t="s">
        <v>237</v>
      </c>
      <c r="C87" s="6"/>
      <c r="D87" s="6"/>
      <c r="E87" s="6"/>
      <c r="F87" s="6"/>
      <c r="G87" s="13"/>
      <c r="H87" s="9"/>
      <c r="I87" s="286">
        <f>20%*I85</f>
        <v>7924800</v>
      </c>
      <c r="J87" s="286"/>
      <c r="K87" s="149"/>
      <c r="L87" s="285"/>
      <c r="M87" s="285"/>
    </row>
  </sheetData>
  <mergeCells count="104">
    <mergeCell ref="I61:J61"/>
    <mergeCell ref="L61:M61"/>
    <mergeCell ref="I62:J62"/>
    <mergeCell ref="L62:M62"/>
    <mergeCell ref="I63:J63"/>
    <mergeCell ref="L63:M63"/>
    <mergeCell ref="I67:J67"/>
    <mergeCell ref="L67:M67"/>
    <mergeCell ref="I64:J64"/>
    <mergeCell ref="L64:M64"/>
    <mergeCell ref="I65:J65"/>
    <mergeCell ref="L65:M65"/>
    <mergeCell ref="I66:J66"/>
    <mergeCell ref="L66:M66"/>
    <mergeCell ref="A56:H57"/>
    <mergeCell ref="I56:M56"/>
    <mergeCell ref="I57:J57"/>
    <mergeCell ref="L57:M57"/>
    <mergeCell ref="I58:J58"/>
    <mergeCell ref="L58:M58"/>
    <mergeCell ref="I59:J59"/>
    <mergeCell ref="L59:M59"/>
    <mergeCell ref="I60:J60"/>
    <mergeCell ref="L60:M60"/>
    <mergeCell ref="I34:J34"/>
    <mergeCell ref="L34:M34"/>
    <mergeCell ref="I35:J35"/>
    <mergeCell ref="L35:M35"/>
    <mergeCell ref="I36:J36"/>
    <mergeCell ref="L36:M36"/>
    <mergeCell ref="I37:J37"/>
    <mergeCell ref="L37:M37"/>
    <mergeCell ref="I38:J38"/>
    <mergeCell ref="L38:M38"/>
    <mergeCell ref="I26:J26"/>
    <mergeCell ref="L26:M26"/>
    <mergeCell ref="I27:J27"/>
    <mergeCell ref="L27:M27"/>
    <mergeCell ref="I28:J28"/>
    <mergeCell ref="L28:M28"/>
    <mergeCell ref="I29:J29"/>
    <mergeCell ref="L29:M29"/>
    <mergeCell ref="A32:H33"/>
    <mergeCell ref="I32:M32"/>
    <mergeCell ref="I33:J33"/>
    <mergeCell ref="L33:M33"/>
    <mergeCell ref="A21:H22"/>
    <mergeCell ref="I21:M21"/>
    <mergeCell ref="I22:J22"/>
    <mergeCell ref="L22:M22"/>
    <mergeCell ref="I24:J24"/>
    <mergeCell ref="L24:M24"/>
    <mergeCell ref="I23:J23"/>
    <mergeCell ref="L23:M23"/>
    <mergeCell ref="I25:J25"/>
    <mergeCell ref="L25:M25"/>
    <mergeCell ref="I10:J10"/>
    <mergeCell ref="L10:M10"/>
    <mergeCell ref="I18:J18"/>
    <mergeCell ref="I11:J11"/>
    <mergeCell ref="L11:M11"/>
    <mergeCell ref="I12:J12"/>
    <mergeCell ref="L12:M12"/>
    <mergeCell ref="I13:J13"/>
    <mergeCell ref="L13:M13"/>
    <mergeCell ref="I14:J14"/>
    <mergeCell ref="L14:M14"/>
    <mergeCell ref="I15:J15"/>
    <mergeCell ref="L15:M15"/>
    <mergeCell ref="I16:J16"/>
    <mergeCell ref="L16:M16"/>
    <mergeCell ref="A3:M4"/>
    <mergeCell ref="A6:H7"/>
    <mergeCell ref="I6:M6"/>
    <mergeCell ref="I7:J7"/>
    <mergeCell ref="L7:M7"/>
    <mergeCell ref="I8:J8"/>
    <mergeCell ref="L8:M8"/>
    <mergeCell ref="I9:J9"/>
    <mergeCell ref="L9:M9"/>
    <mergeCell ref="I75:J75"/>
    <mergeCell ref="L75:M75"/>
    <mergeCell ref="I76:J76"/>
    <mergeCell ref="L76:M76"/>
    <mergeCell ref="I77:J77"/>
    <mergeCell ref="L77:M77"/>
    <mergeCell ref="A72:H73"/>
    <mergeCell ref="I72:M72"/>
    <mergeCell ref="I73:J73"/>
    <mergeCell ref="L73:M73"/>
    <mergeCell ref="I74:J74"/>
    <mergeCell ref="L74:M74"/>
    <mergeCell ref="I85:J85"/>
    <mergeCell ref="L85:M85"/>
    <mergeCell ref="I86:J86"/>
    <mergeCell ref="L86:M86"/>
    <mergeCell ref="I87:J87"/>
    <mergeCell ref="L87:M87"/>
    <mergeCell ref="I78:J78"/>
    <mergeCell ref="I79:J79"/>
    <mergeCell ref="A83:H84"/>
    <mergeCell ref="I83:M83"/>
    <mergeCell ref="I84:J84"/>
    <mergeCell ref="L84:M84"/>
  </mergeCells>
  <pageMargins left="0.31496062992125984" right="0.31496062992125984" top="0.55118110236220474" bottom="0.55118110236220474" header="0.31496062992125984" footer="0.31496062992125984"/>
  <pageSetup paperSize="9" scale="85" orientation="portrait" horizontalDpi="4294967293" verticalDpi="4294967293"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so-contentType ?>
<FormTemplates xmlns="http://schemas.microsoft.com/sharepoint/v3/contenttype/forms">
  <Display>DocumentLibraryForm</Display>
  <Edit>AssetEditForm</Edit>
  <New>DocumentLibraryForm</New>
</FormTemplates>
</file>

<file path=customXml/itemProps1.xml><?xml version="1.0" encoding="utf-8"?>
<ds:datastoreItem xmlns:ds="http://schemas.openxmlformats.org/officeDocument/2006/customXml" ds:itemID="{CD103692-0AB9-440F-8037-8BCF7BF477B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Referensi</vt:lpstr>
      <vt:lpstr>Peg Tetap</vt:lpstr>
      <vt:lpstr>THR</vt:lpstr>
      <vt:lpstr>Desember</vt:lpstr>
      <vt:lpstr>Selain PEG TETAP</vt:lpstr>
      <vt:lpstr>Referensi!Print_Area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Pajak</dc:creator>
  <cp:lastModifiedBy>ratih</cp:lastModifiedBy>
  <cp:lastPrinted>2017-06-09T01:24:45Z</cp:lastPrinted>
  <dcterms:created xsi:type="dcterms:W3CDTF">2014-09-12T08:48:32Z</dcterms:created>
  <dcterms:modified xsi:type="dcterms:W3CDTF">2017-06-09T01:38:12Z</dcterms:modified>
  <cp:ver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TC038448709991</vt:lpwstr>
  </property>
</Properties>
</file>